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05" windowWidth="19035" windowHeight="11160" activeTab="0"/>
  </bookViews>
  <sheets>
    <sheet name="2003-current" sheetId="1" r:id="rId1"/>
  </sheets>
  <definedNames>
    <definedName name="_xlnm.Print_Titles" localSheetId="0">'2003-current'!$1:$8</definedName>
  </definedNames>
  <calcPr fullCalcOnLoad="1"/>
</workbook>
</file>

<file path=xl/sharedStrings.xml><?xml version="1.0" encoding="utf-8"?>
<sst xmlns="http://schemas.openxmlformats.org/spreadsheetml/2006/main" count="1564" uniqueCount="451">
  <si>
    <t>EX-REFINERY PRICE</t>
  </si>
  <si>
    <t>DATE</t>
  </si>
  <si>
    <t>ULG95</t>
  </si>
  <si>
    <t>UGR91</t>
  </si>
  <si>
    <t>GASOHOL</t>
  </si>
  <si>
    <t>KERO</t>
  </si>
  <si>
    <t xml:space="preserve">HSD </t>
  </si>
  <si>
    <t xml:space="preserve">  LSD</t>
  </si>
  <si>
    <t>FO 1500 (2%S)</t>
  </si>
  <si>
    <t>MAY-5</t>
  </si>
  <si>
    <t>MAY-12</t>
  </si>
  <si>
    <t>MAY-19</t>
  </si>
  <si>
    <t>MAY-26</t>
  </si>
  <si>
    <t>AVERAGE</t>
  </si>
  <si>
    <t>JUN-2</t>
  </si>
  <si>
    <t>JUN-9</t>
  </si>
  <si>
    <t>JUN-16</t>
  </si>
  <si>
    <t>JUN-23</t>
  </si>
  <si>
    <t>JUN-30</t>
  </si>
  <si>
    <t>JUL-7</t>
  </si>
  <si>
    <t>JUL-14</t>
  </si>
  <si>
    <t>JUL-21</t>
  </si>
  <si>
    <t>JUL-28</t>
  </si>
  <si>
    <t>AUG-4</t>
  </si>
  <si>
    <t>AUG-11</t>
  </si>
  <si>
    <t>AUG-18</t>
  </si>
  <si>
    <t>AUG-25</t>
  </si>
  <si>
    <t>SEP-1</t>
  </si>
  <si>
    <t>SEP-8</t>
  </si>
  <si>
    <t>SEP-15</t>
  </si>
  <si>
    <t>SEP-22</t>
  </si>
  <si>
    <t>SEP-29</t>
  </si>
  <si>
    <t>OCT-6</t>
  </si>
  <si>
    <t>OCT-13</t>
  </si>
  <si>
    <t>OCT-20</t>
  </si>
  <si>
    <t>OCT-27</t>
  </si>
  <si>
    <t>NOV-3</t>
  </si>
  <si>
    <t>NOV-10</t>
  </si>
  <si>
    <t>NOV-17</t>
  </si>
  <si>
    <t>NOV-24</t>
  </si>
  <si>
    <t>DEC-1</t>
  </si>
  <si>
    <t>DEC-5</t>
  </si>
  <si>
    <t>DEC-8</t>
  </si>
  <si>
    <t>DEC-15</t>
  </si>
  <si>
    <t>DEC-22</t>
  </si>
  <si>
    <t>DEC-29</t>
  </si>
  <si>
    <t>JAN-5</t>
  </si>
  <si>
    <t>JAN-12</t>
  </si>
  <si>
    <t>JAN-19</t>
  </si>
  <si>
    <t>JAN-26</t>
  </si>
  <si>
    <t>FAB-2</t>
  </si>
  <si>
    <t>FAB-9</t>
  </si>
  <si>
    <t>FAB-16</t>
  </si>
  <si>
    <t>FAB-23</t>
  </si>
  <si>
    <t>MAR-1</t>
  </si>
  <si>
    <t>MAR-8</t>
  </si>
  <si>
    <t>MAR-15</t>
  </si>
  <si>
    <t>MAR-22</t>
  </si>
  <si>
    <t>MAR-29</t>
  </si>
  <si>
    <t>APR-5</t>
  </si>
  <si>
    <t>APR-12</t>
  </si>
  <si>
    <t>APR-19</t>
  </si>
  <si>
    <t>APR-26</t>
  </si>
  <si>
    <t>MAY-3</t>
  </si>
  <si>
    <t>MAY-10</t>
  </si>
  <si>
    <t>MAY-17</t>
  </si>
  <si>
    <t>MAY-24</t>
  </si>
  <si>
    <t>MAY-31</t>
  </si>
  <si>
    <t>JUN-7</t>
  </si>
  <si>
    <t>JUN-14</t>
  </si>
  <si>
    <t>JUN-21</t>
  </si>
  <si>
    <t>JUN-28</t>
  </si>
  <si>
    <t>JUL-5</t>
  </si>
  <si>
    <t>JUL-12</t>
  </si>
  <si>
    <t>JUL-19</t>
  </si>
  <si>
    <t>JUL-26</t>
  </si>
  <si>
    <t>AUG-2</t>
  </si>
  <si>
    <t>AUG-9</t>
  </si>
  <si>
    <t>AUG-16</t>
  </si>
  <si>
    <t>AUG-23</t>
  </si>
  <si>
    <t>AUG-30</t>
  </si>
  <si>
    <t>SEP-6</t>
  </si>
  <si>
    <t>SEP-13</t>
  </si>
  <si>
    <t>SEP-20</t>
  </si>
  <si>
    <t>SEP-27</t>
  </si>
  <si>
    <t>OCT-4</t>
  </si>
  <si>
    <t>OCT-11</t>
  </si>
  <si>
    <t>OCT-18</t>
  </si>
  <si>
    <t>OCT-25</t>
  </si>
  <si>
    <t>NOV-1</t>
  </si>
  <si>
    <t>NOV-8</t>
  </si>
  <si>
    <t>NOV-15</t>
  </si>
  <si>
    <t>NOV-22</t>
  </si>
  <si>
    <t>NOV-29</t>
  </si>
  <si>
    <t>DEC-6</t>
  </si>
  <si>
    <t>DEC-13</t>
  </si>
  <si>
    <t>DEC-20</t>
  </si>
  <si>
    <t>DEC-27</t>
  </si>
  <si>
    <t>JAN-3</t>
  </si>
  <si>
    <t>JAN-10</t>
  </si>
  <si>
    <t>JAN-17</t>
  </si>
  <si>
    <t>JAN-18</t>
  </si>
  <si>
    <t>JAN-24</t>
  </si>
  <si>
    <t>JAN-28</t>
  </si>
  <si>
    <t>JAN-31</t>
  </si>
  <si>
    <t>FAB-7</t>
  </si>
  <si>
    <t>FAB-14</t>
  </si>
  <si>
    <t>FAB-15</t>
  </si>
  <si>
    <t>FAB-17</t>
  </si>
  <si>
    <t>FAB-21</t>
  </si>
  <si>
    <t>FAB-28</t>
  </si>
  <si>
    <t>MAR-7</t>
  </si>
  <si>
    <t>MAR-14</t>
  </si>
  <si>
    <t>MAR-21</t>
  </si>
  <si>
    <t>MAR-28</t>
  </si>
  <si>
    <t>APR-4</t>
  </si>
  <si>
    <t>APR-11</t>
  </si>
  <si>
    <t>APR-18</t>
  </si>
  <si>
    <t>APR-23</t>
  </si>
  <si>
    <t>APR-25</t>
  </si>
  <si>
    <t>APR-30</t>
  </si>
  <si>
    <t>MAY-2</t>
  </si>
  <si>
    <t>MAY-7</t>
  </si>
  <si>
    <t>MAY-9</t>
  </si>
  <si>
    <t>MAY-14</t>
  </si>
  <si>
    <t>MAY-16</t>
  </si>
  <si>
    <t>MAY-23</t>
  </si>
  <si>
    <t>MAY-30</t>
  </si>
  <si>
    <t>JUN-6</t>
  </si>
  <si>
    <t>JUN-10</t>
  </si>
  <si>
    <t>JUN-13</t>
  </si>
  <si>
    <t>JUN-20</t>
  </si>
  <si>
    <t>JUN-25</t>
  </si>
  <si>
    <t>JUN-27</t>
  </si>
  <si>
    <t>JUL- 4</t>
  </si>
  <si>
    <t>JUL-11</t>
  </si>
  <si>
    <t>JUL-18</t>
  </si>
  <si>
    <t>JUL-25</t>
  </si>
  <si>
    <t>AUG- 1</t>
  </si>
  <si>
    <t>AUG-8</t>
  </si>
  <si>
    <t>AUG-15</t>
  </si>
  <si>
    <t>AUG-22</t>
  </si>
  <si>
    <t>AUG-29</t>
  </si>
  <si>
    <t>SEP- 5</t>
  </si>
  <si>
    <t>SEP- 12</t>
  </si>
  <si>
    <t>SEP- 19</t>
  </si>
  <si>
    <t>SEP- 26</t>
  </si>
  <si>
    <t>OCT- 3</t>
  </si>
  <si>
    <t>OCT- 10</t>
  </si>
  <si>
    <t>OCT- 17</t>
  </si>
  <si>
    <t>OCT- 24</t>
  </si>
  <si>
    <t>OCT- 31</t>
  </si>
  <si>
    <t>NOV- 7</t>
  </si>
  <si>
    <t>NOV- 14</t>
  </si>
  <si>
    <t>NOV- 21</t>
  </si>
  <si>
    <t>NOV- 28</t>
  </si>
  <si>
    <t>DEC- 5</t>
  </si>
  <si>
    <t>DEC- 12</t>
  </si>
  <si>
    <t>DEC- 19</t>
  </si>
  <si>
    <t>DEC- 26</t>
  </si>
  <si>
    <t>JAN- 2</t>
  </si>
  <si>
    <t>JAN- 9</t>
  </si>
  <si>
    <t>JAN- 16</t>
  </si>
  <si>
    <t>JAN- 23</t>
  </si>
  <si>
    <t>JAN- 30</t>
  </si>
  <si>
    <t>FEB- 6</t>
  </si>
  <si>
    <t>FEB- 13</t>
  </si>
  <si>
    <t>FEB- 20</t>
  </si>
  <si>
    <t>FEB- 27</t>
  </si>
  <si>
    <t>MAR- 6</t>
  </si>
  <si>
    <t>MAR- 13</t>
  </si>
  <si>
    <t>MAR- 20</t>
  </si>
  <si>
    <t>MAR- 27</t>
  </si>
  <si>
    <t>APR- 3</t>
  </si>
  <si>
    <t>APR- 10</t>
  </si>
  <si>
    <t>APR- 17</t>
  </si>
  <si>
    <t>APR- 24</t>
  </si>
  <si>
    <t>MAY- 1</t>
  </si>
  <si>
    <t>MAY- 8</t>
  </si>
  <si>
    <t>MAY- 15</t>
  </si>
  <si>
    <t>MAY- 22</t>
  </si>
  <si>
    <t>MAY- 29</t>
  </si>
  <si>
    <t>JUN- 5</t>
  </si>
  <si>
    <t>JUN- 12</t>
  </si>
  <si>
    <t>JUN- 19</t>
  </si>
  <si>
    <t>JUN- 26</t>
  </si>
  <si>
    <t>JUL-3</t>
  </si>
  <si>
    <t>JUL-10</t>
  </si>
  <si>
    <t>JUL-17</t>
  </si>
  <si>
    <t>JUL-24</t>
  </si>
  <si>
    <t>JUL-31</t>
  </si>
  <si>
    <t>AUG-7</t>
  </si>
  <si>
    <t>AUG-14</t>
  </si>
  <si>
    <t>AUG-21</t>
  </si>
  <si>
    <t>AUG-28</t>
  </si>
  <si>
    <t>SEP-4</t>
  </si>
  <si>
    <t>SEP-11</t>
  </si>
  <si>
    <t>SEP-18</t>
  </si>
  <si>
    <t>SEP-25</t>
  </si>
  <si>
    <t>OCT-2</t>
  </si>
  <si>
    <t>OCT-9</t>
  </si>
  <si>
    <t>OCT-16</t>
  </si>
  <si>
    <t>OCT-23</t>
  </si>
  <si>
    <t>OCT-30</t>
  </si>
  <si>
    <t>NOV-6</t>
  </si>
  <si>
    <t>NOV-13</t>
  </si>
  <si>
    <t>NOV-20</t>
  </si>
  <si>
    <t>NOV-27</t>
  </si>
  <si>
    <t>DEC-4</t>
  </si>
  <si>
    <t>DEC-11</t>
  </si>
  <si>
    <t>DEC-18</t>
  </si>
  <si>
    <t>DEC-25</t>
  </si>
  <si>
    <t>JAN-1</t>
  </si>
  <si>
    <t>JAN-8</t>
  </si>
  <si>
    <t>JAN-15</t>
  </si>
  <si>
    <t>JAN-22</t>
  </si>
  <si>
    <t>FEB-5</t>
  </si>
  <si>
    <t>FEB-12</t>
  </si>
  <si>
    <t>FEB-19</t>
  </si>
  <si>
    <t>FEB-26</t>
  </si>
  <si>
    <t>JAN-29</t>
  </si>
  <si>
    <t>FEB-1</t>
  </si>
  <si>
    <t>MAR-5</t>
  </si>
  <si>
    <t>MAR-12</t>
  </si>
  <si>
    <t>MAR-19</t>
  </si>
  <si>
    <t>MAR-26</t>
  </si>
  <si>
    <t>APR-1</t>
  </si>
  <si>
    <t>APR-2</t>
  </si>
  <si>
    <t>APR-9</t>
  </si>
  <si>
    <t>APR-16</t>
  </si>
  <si>
    <t>MAY-1</t>
  </si>
  <si>
    <t>MAY-21</t>
  </si>
  <si>
    <t>MAY-28</t>
  </si>
  <si>
    <t>JUN-1</t>
  </si>
  <si>
    <t>JUN-4</t>
  </si>
  <si>
    <t>JUN-11</t>
  </si>
  <si>
    <t>JUN-18</t>
  </si>
  <si>
    <t>B5</t>
  </si>
  <si>
    <t>JUL-1</t>
  </si>
  <si>
    <t>JUL-2</t>
  </si>
  <si>
    <t>JUL-9</t>
  </si>
  <si>
    <t>JUL-16</t>
  </si>
  <si>
    <t>JUL-23</t>
  </si>
  <si>
    <t>JUL-30</t>
  </si>
  <si>
    <t>AUG-1</t>
  </si>
  <si>
    <t>AUG-6</t>
  </si>
  <si>
    <t>AUG-13</t>
  </si>
  <si>
    <t>AUG-20</t>
  </si>
  <si>
    <t>AUG-27</t>
  </si>
  <si>
    <t>SEP-3</t>
  </si>
  <si>
    <t>SEP-10</t>
  </si>
  <si>
    <t>SEP-17</t>
  </si>
  <si>
    <t>SEP-24</t>
  </si>
  <si>
    <t>OCT-1</t>
  </si>
  <si>
    <t>OCT-8</t>
  </si>
  <si>
    <t>OCT-15</t>
  </si>
  <si>
    <t>OCT-22</t>
  </si>
  <si>
    <t>OCT-29</t>
  </si>
  <si>
    <t>NOV-5</t>
  </si>
  <si>
    <t>NOV-12</t>
  </si>
  <si>
    <t>NOV-19</t>
  </si>
  <si>
    <t>NOV-26</t>
  </si>
  <si>
    <t>DEC-3</t>
  </si>
  <si>
    <t>DEC-10</t>
  </si>
  <si>
    <t>DEC-17</t>
  </si>
  <si>
    <t>DEC-24</t>
  </si>
  <si>
    <t>DEC-31</t>
  </si>
  <si>
    <t>JAN-7</t>
  </si>
  <si>
    <t>JAN-14</t>
  </si>
  <si>
    <t>JAN-21</t>
  </si>
  <si>
    <t>(E10)</t>
  </si>
  <si>
    <t>(E20)</t>
  </si>
  <si>
    <t>GASOHOL 95</t>
  </si>
  <si>
    <t>FEB-4</t>
  </si>
  <si>
    <t>FEB-11</t>
  </si>
  <si>
    <t>FEB-18</t>
  </si>
  <si>
    <t>FEB-25</t>
  </si>
  <si>
    <t>MAR-3</t>
  </si>
  <si>
    <t>MAR-10</t>
  </si>
  <si>
    <t>MAR-31</t>
  </si>
  <si>
    <t>MAR-24</t>
  </si>
  <si>
    <t>MAR-17</t>
  </si>
  <si>
    <t>APR-7</t>
  </si>
  <si>
    <t>APR-14</t>
  </si>
  <si>
    <t>APR-21</t>
  </si>
  <si>
    <t>APR-28</t>
  </si>
  <si>
    <t>TABLE 4</t>
  </si>
  <si>
    <t>PRICE  OF  PETROLEUM  PRODUCTS</t>
  </si>
  <si>
    <t>FEB-2</t>
  </si>
  <si>
    <t>FEB-9</t>
  </si>
  <si>
    <t>FEB-16</t>
  </si>
  <si>
    <t>FEB-23</t>
  </si>
  <si>
    <t>MAR-2</t>
  </si>
  <si>
    <t>MAR-9</t>
  </si>
  <si>
    <t>MAR-16</t>
  </si>
  <si>
    <t>MAR-23</t>
  </si>
  <si>
    <t>MAR-30</t>
  </si>
  <si>
    <t>APR-6</t>
  </si>
  <si>
    <t>APR-13</t>
  </si>
  <si>
    <t>APR-20</t>
  </si>
  <si>
    <t>APR-27</t>
  </si>
  <si>
    <t>MAY-4</t>
  </si>
  <si>
    <t>MAY-11</t>
  </si>
  <si>
    <t>MAY-18</t>
  </si>
  <si>
    <t>MAY-25</t>
  </si>
  <si>
    <t>(E85)</t>
  </si>
  <si>
    <t>JUN-8</t>
  </si>
  <si>
    <t>JUN-15</t>
  </si>
  <si>
    <t>JUN-22</t>
  </si>
  <si>
    <t>JUN-29</t>
  </si>
  <si>
    <t>JUL-6</t>
  </si>
  <si>
    <t>JUL-13</t>
  </si>
  <si>
    <t>JUL-20</t>
  </si>
  <si>
    <t>JUL-27</t>
  </si>
  <si>
    <t>AUG-3</t>
  </si>
  <si>
    <t>AUG-10</t>
  </si>
  <si>
    <t>AUG-17</t>
  </si>
  <si>
    <t>AUG-24</t>
  </si>
  <si>
    <t>AUG-31</t>
  </si>
  <si>
    <t>SEP-7</t>
  </si>
  <si>
    <t>SEP-14</t>
  </si>
  <si>
    <t>SEP-21</t>
  </si>
  <si>
    <t>SEP-28</t>
  </si>
  <si>
    <t>OCT-5</t>
  </si>
  <si>
    <t>OCT-12</t>
  </si>
  <si>
    <t>OCT-19</t>
  </si>
  <si>
    <t>OCT-26</t>
  </si>
  <si>
    <t>NOV-2</t>
  </si>
  <si>
    <t>NOV-9</t>
  </si>
  <si>
    <t>NOV-16</t>
  </si>
  <si>
    <t>NOV-23</t>
  </si>
  <si>
    <t>NOV-30</t>
  </si>
  <si>
    <t>DEC-7</t>
  </si>
  <si>
    <t>DEC-14</t>
  </si>
  <si>
    <t>DEC-21</t>
  </si>
  <si>
    <t>DEC-28</t>
  </si>
  <si>
    <t>JAN-4</t>
  </si>
  <si>
    <t>JAN-11</t>
  </si>
  <si>
    <t>JAN-25</t>
  </si>
  <si>
    <t>FEB-8</t>
  </si>
  <si>
    <t>FEB-15</t>
  </si>
  <si>
    <t>FEB-22</t>
  </si>
  <si>
    <t>FEB-7</t>
  </si>
  <si>
    <t>FEB-14</t>
  </si>
  <si>
    <t>FEB-21</t>
  </si>
  <si>
    <t>FEB-28</t>
  </si>
  <si>
    <t>JUL-4</t>
  </si>
  <si>
    <t>SEP-5</t>
  </si>
  <si>
    <t>SEP-12</t>
  </si>
  <si>
    <t>SEP-19</t>
  </si>
  <si>
    <t>SEP-26</t>
  </si>
  <si>
    <t>OCT-3</t>
  </si>
  <si>
    <t>OCT-10</t>
  </si>
  <si>
    <t>OCT-17</t>
  </si>
  <si>
    <t>OCT-24</t>
  </si>
  <si>
    <t>OCT-31</t>
  </si>
  <si>
    <t>NOV-7</t>
  </si>
  <si>
    <t>NOV-14</t>
  </si>
  <si>
    <t>NOV-21</t>
  </si>
  <si>
    <t>NOV-28</t>
  </si>
  <si>
    <t>DEC-12</t>
  </si>
  <si>
    <t>DEC-19</t>
  </si>
  <si>
    <t>DEC-26</t>
  </si>
  <si>
    <t>JAN-2</t>
  </si>
  <si>
    <t>JAN-9</t>
  </si>
  <si>
    <t>JAN-16</t>
  </si>
  <si>
    <t>JAN-23</t>
  </si>
  <si>
    <t>JAN-30</t>
  </si>
  <si>
    <t>FEB-6</t>
  </si>
  <si>
    <t>FEB-20</t>
  </si>
  <si>
    <t>FEB-13</t>
  </si>
  <si>
    <t>FEB-27</t>
  </si>
  <si>
    <t>COOKING</t>
  </si>
  <si>
    <t>AUTOBILE</t>
  </si>
  <si>
    <t>INDUSTRY</t>
  </si>
  <si>
    <t>Unit: Baht/Litre</t>
  </si>
  <si>
    <t>LPG (B/Kg)</t>
  </si>
  <si>
    <t>MAR-4</t>
  </si>
  <si>
    <t>MAR-11</t>
  </si>
  <si>
    <t>MAR-18</t>
  </si>
  <si>
    <t>MAR-25</t>
  </si>
  <si>
    <t>APR-8</t>
  </si>
  <si>
    <t>APR-15</t>
  </si>
  <si>
    <t>APR-22</t>
  </si>
  <si>
    <t>APR-29</t>
  </si>
  <si>
    <t>MAY-6</t>
  </si>
  <si>
    <t>MAY-13</t>
  </si>
  <si>
    <t>MAY-20</t>
  </si>
  <si>
    <t>MAY-27</t>
  </si>
  <si>
    <t>JUN-3</t>
  </si>
  <si>
    <t>JUN-17</t>
  </si>
  <si>
    <t>JUN-24</t>
  </si>
  <si>
    <t>JUL-8</t>
  </si>
  <si>
    <t>JUL-15</t>
  </si>
  <si>
    <t>JUL-22</t>
  </si>
  <si>
    <t>JUL-29</t>
  </si>
  <si>
    <t>AUG-5</t>
  </si>
  <si>
    <t>AUG-12</t>
  </si>
  <si>
    <t>AUG-19</t>
  </si>
  <si>
    <t>AUG-26</t>
  </si>
  <si>
    <t>SEP-2</t>
  </si>
  <si>
    <t>SEP-9</t>
  </si>
  <si>
    <t>SEP-16</t>
  </si>
  <si>
    <t>SEP-23</t>
  </si>
  <si>
    <t>SEP-30</t>
  </si>
  <si>
    <t>OCT-7</t>
  </si>
  <si>
    <t>OCT-14</t>
  </si>
  <si>
    <t>OCT-21</t>
  </si>
  <si>
    <t>OCT-28</t>
  </si>
  <si>
    <t>LOW INCOME</t>
  </si>
  <si>
    <t>HOUSEHOLD</t>
  </si>
  <si>
    <t>NOV-4</t>
  </si>
  <si>
    <t>NOV-11</t>
  </si>
  <si>
    <t>NOV-18</t>
  </si>
  <si>
    <t>NOV-25</t>
  </si>
  <si>
    <t>DEC-2</t>
  </si>
  <si>
    <t>DEC-9</t>
  </si>
  <si>
    <t>DEC-16</t>
  </si>
  <si>
    <t>DEC-23</t>
  </si>
  <si>
    <t>DEC-30</t>
  </si>
  <si>
    <t>JAN-6</t>
  </si>
  <si>
    <t>JAN-13</t>
  </si>
  <si>
    <t>JAN-20</t>
  </si>
  <si>
    <t>JAN-27</t>
  </si>
  <si>
    <t>FEB-3</t>
  </si>
  <si>
    <t>FEB-10</t>
  </si>
  <si>
    <t>FEB-17</t>
  </si>
  <si>
    <t>FEB-24</t>
  </si>
  <si>
    <t>FEB-29</t>
  </si>
  <si>
    <t>MAR-6</t>
  </si>
  <si>
    <t>MAR-13</t>
  </si>
  <si>
    <t>MAR-20</t>
  </si>
  <si>
    <t>MAR-27</t>
  </si>
  <si>
    <t>APR-3</t>
  </si>
  <si>
    <t>APR-10</t>
  </si>
  <si>
    <t>APR-17</t>
  </si>
  <si>
    <t>APR-24</t>
  </si>
  <si>
    <t>MAY-8</t>
  </si>
  <si>
    <t>MAY-15</t>
  </si>
  <si>
    <t>MAY-22</t>
  </si>
  <si>
    <t>MAY-29</t>
  </si>
  <si>
    <t>JUN-5</t>
  </si>
  <si>
    <t>JUN-12</t>
  </si>
  <si>
    <t>JUN-19</t>
  </si>
  <si>
    <t>JUN-26</t>
  </si>
  <si>
    <t>JUN-31</t>
  </si>
  <si>
    <t>B20</t>
  </si>
  <si>
    <t>หมายเหตุ : * วันที่ 18 มี.ค. 56 ยกเลิกโครงสร้าง UGR91</t>
  </si>
  <si>
    <t>B7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</si>
  <si>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</si>
  <si>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r>
      <t xml:space="preserve">              **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และ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</t>
    </r>
    <r>
      <rPr>
        <b/>
        <sz val="13"/>
        <rFont val="TH SarabunPSK"/>
        <family val="2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</si>
</sst>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_);\(0.0000\)"/>
    <numFmt numFmtId="181" formatCode="[$-409]dddd\,\ mmmm\ dd\,\ yyyy"/>
    <numFmt numFmtId="182" formatCode="0.00000"/>
    <numFmt numFmtId="183" formatCode="0.0000"/>
    <numFmt numFmtId="184" formatCode="0.000"/>
    <numFmt numFmtId="185" formatCode="0.000000"/>
    <numFmt numFmtId="186" formatCode="0.0000000"/>
    <numFmt numFmtId="187" formatCode="0_);\(0\)"/>
    <numFmt numFmtId="188" formatCode="#,##0.0000"/>
    <numFmt numFmtId="189" formatCode="#,##0.0000;[Red]#,##0.0000"/>
    <numFmt numFmtId="190" formatCode="0.000_);\(0.000\)"/>
    <numFmt numFmtId="191" formatCode="0.00_);\(0.00\)"/>
    <numFmt numFmtId="192" formatCode="0.0_);\(0.0\)"/>
    <numFmt numFmtId="193" formatCode="B1mmm\-yy"/>
    <numFmt numFmtId="194" formatCode="0.00000_);\(0.00000\)"/>
    <numFmt numFmtId="195" formatCode="_(* #,##0.000_);_(* \(#,##0.000\);_(* &quot;-&quot;??_);_(@_)"/>
    <numFmt numFmtId="196" formatCode="_(* #,##0.0000_);_(* \(#,##0.00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single"/>
      <sz val="13"/>
      <name val="TH SarabunPSK"/>
      <family val="2"/>
    </font>
    <font>
      <b/>
      <u val="double"/>
      <sz val="13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180" fontId="3" fillId="33" borderId="11" xfId="0" applyNumberFormat="1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horizontal="left" vertical="center"/>
    </xf>
    <xf numFmtId="180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" fontId="3" fillId="33" borderId="11" xfId="0" applyNumberFormat="1" applyFont="1" applyFill="1" applyBorder="1" applyAlignment="1" quotePrefix="1">
      <alignment vertical="center"/>
    </xf>
    <xf numFmtId="183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0" fontId="2" fillId="33" borderId="12" xfId="0" applyNumberFormat="1" applyFont="1" applyFill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" fontId="2" fillId="34" borderId="11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horizontal="centerContinuous" vertical="center"/>
    </xf>
    <xf numFmtId="180" fontId="5" fillId="35" borderId="16" xfId="0" applyNumberFormat="1" applyFont="1" applyFill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/>
    </xf>
    <xf numFmtId="180" fontId="4" fillId="35" borderId="13" xfId="0" applyNumberFormat="1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vertical="center"/>
    </xf>
    <xf numFmtId="180" fontId="4" fillId="33" borderId="12" xfId="0" applyNumberFormat="1" applyFont="1" applyFill="1" applyBorder="1" applyAlignment="1">
      <alignment vertical="center"/>
    </xf>
    <xf numFmtId="180" fontId="5" fillId="33" borderId="13" xfId="0" applyNumberFormat="1" applyFont="1" applyFill="1" applyBorder="1" applyAlignment="1">
      <alignment horizontal="center" vertical="center"/>
    </xf>
    <xf numFmtId="187" fontId="5" fillId="33" borderId="13" xfId="0" applyNumberFormat="1" applyFont="1" applyFill="1" applyBorder="1" applyAlignment="1">
      <alignment horizontal="center" vertical="center"/>
    </xf>
    <xf numFmtId="180" fontId="5" fillId="35" borderId="13" xfId="0" applyNumberFormat="1" applyFont="1" applyFill="1" applyBorder="1" applyAlignment="1">
      <alignment horizontal="center" vertical="center"/>
    </xf>
    <xf numFmtId="180" fontId="2" fillId="0" borderId="11" xfId="0" applyNumberFormat="1" applyFont="1" applyBorder="1" applyAlignment="1">
      <alignment vertical="center"/>
    </xf>
    <xf numFmtId="183" fontId="3" fillId="0" borderId="11" xfId="0" applyNumberFormat="1" applyFont="1" applyBorder="1" applyAlignment="1">
      <alignment vertical="center"/>
    </xf>
    <xf numFmtId="180" fontId="5" fillId="33" borderId="11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Continuous" vertical="center"/>
    </xf>
    <xf numFmtId="180" fontId="4" fillId="33" borderId="13" xfId="0" applyNumberFormat="1" applyFont="1" applyFill="1" applyBorder="1" applyAlignment="1">
      <alignment horizontal="centerContinuous" vertical="center"/>
    </xf>
    <xf numFmtId="0" fontId="4" fillId="35" borderId="15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35" borderId="13" xfId="0" applyFont="1" applyFill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0" fontId="4" fillId="35" borderId="15" xfId="0" applyNumberFormat="1" applyFont="1" applyFill="1" applyBorder="1" applyAlignment="1">
      <alignment horizontal="centerContinuous" vertical="center"/>
    </xf>
    <xf numFmtId="180" fontId="4" fillId="35" borderId="12" xfId="0" applyNumberFormat="1" applyFont="1" applyFill="1" applyBorder="1" applyAlignment="1">
      <alignment vertical="center"/>
    </xf>
    <xf numFmtId="180" fontId="5" fillId="35" borderId="12" xfId="0" applyNumberFormat="1" applyFont="1" applyFill="1" applyBorder="1" applyAlignment="1">
      <alignment horizontal="center" vertical="center"/>
    </xf>
    <xf numFmtId="180" fontId="5" fillId="35" borderId="18" xfId="0" applyNumberFormat="1" applyFont="1" applyFill="1" applyBorder="1" applyAlignment="1">
      <alignment horizontal="centerContinuous" vertical="center"/>
    </xf>
    <xf numFmtId="0" fontId="4" fillId="35" borderId="19" xfId="0" applyFont="1" applyFill="1" applyBorder="1" applyAlignment="1">
      <alignment horizontal="centerContinuous" vertical="center"/>
    </xf>
    <xf numFmtId="180" fontId="4" fillId="35" borderId="19" xfId="0" applyNumberFormat="1" applyFont="1" applyFill="1" applyBorder="1" applyAlignment="1">
      <alignment horizontal="centerContinuous" vertical="center"/>
    </xf>
    <xf numFmtId="183" fontId="2" fillId="0" borderId="13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96" fontId="3" fillId="0" borderId="0" xfId="4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0" fontId="5" fillId="33" borderId="14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center" vertical="center"/>
    </xf>
    <xf numFmtId="187" fontId="5" fillId="33" borderId="0" xfId="0" applyNumberFormat="1" applyFont="1" applyFill="1" applyBorder="1" applyAlignment="1">
      <alignment horizontal="center" vertical="center"/>
    </xf>
    <xf numFmtId="180" fontId="5" fillId="35" borderId="16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80" fontId="5" fillId="35" borderId="15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183" fontId="3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4"/>
  <sheetViews>
    <sheetView showGridLines="0" tabSelected="1" zoomScale="110" zoomScaleNormal="110" zoomScalePageLayoutView="0" workbookViewId="0" topLeftCell="A1">
      <pane ySplit="3195" topLeftCell="A1554" activePane="bottomLeft" state="split"/>
      <selection pane="topLeft" activeCell="D8" sqref="D8"/>
      <selection pane="bottomLeft" activeCell="C1564" sqref="C1564"/>
    </sheetView>
  </sheetViews>
  <sheetFormatPr defaultColWidth="9.140625" defaultRowHeight="16.5" customHeight="1"/>
  <cols>
    <col min="1" max="1" width="1.57421875" style="2" customWidth="1"/>
    <col min="2" max="2" width="8.28125" style="2" customWidth="1"/>
    <col min="3" max="10" width="9.421875" style="2" customWidth="1"/>
    <col min="11" max="13" width="7.421875" style="2" customWidth="1"/>
    <col min="14" max="14" width="9.421875" style="2" customWidth="1"/>
    <col min="15" max="16" width="12.421875" style="2" customWidth="1"/>
    <col min="17" max="19" width="9.7109375" style="2" customWidth="1"/>
    <col min="20" max="16384" width="9.140625" style="2" customWidth="1"/>
  </cols>
  <sheetData>
    <row r="1" spans="1:17" ht="16.5" customHeight="1">
      <c r="A1" s="1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>
      <c r="A2" s="1" t="s">
        <v>287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7:19" ht="16.5" customHeight="1">
      <c r="Q3" s="45" t="s">
        <v>375</v>
      </c>
      <c r="R3" s="45"/>
      <c r="S3" s="45"/>
    </row>
    <row r="4" spans="1:19" s="26" customFormat="1" ht="16.5" customHeight="1">
      <c r="A4" s="22"/>
      <c r="B4" s="23"/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44"/>
      <c r="S4" s="49"/>
    </row>
    <row r="5" spans="1:19" s="26" customFormat="1" ht="16.5" customHeight="1">
      <c r="A5" s="27"/>
      <c r="B5" s="28" t="s">
        <v>1</v>
      </c>
      <c r="C5" s="42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29"/>
      <c r="R5" s="46"/>
      <c r="S5" s="50"/>
    </row>
    <row r="6" spans="1:19" s="26" customFormat="1" ht="16.5" customHeight="1">
      <c r="A6" s="27"/>
      <c r="B6" s="30"/>
      <c r="C6" s="31" t="s">
        <v>2</v>
      </c>
      <c r="D6" s="31" t="s">
        <v>3</v>
      </c>
      <c r="E6" s="32" t="s">
        <v>272</v>
      </c>
      <c r="F6" s="32"/>
      <c r="G6" s="32"/>
      <c r="H6" s="31" t="s">
        <v>4</v>
      </c>
      <c r="I6" s="31" t="s">
        <v>5</v>
      </c>
      <c r="J6" s="31" t="s">
        <v>449</v>
      </c>
      <c r="K6" s="31" t="s">
        <v>449</v>
      </c>
      <c r="L6" s="31" t="s">
        <v>6</v>
      </c>
      <c r="M6" s="31" t="s">
        <v>6</v>
      </c>
      <c r="N6" s="31" t="s">
        <v>7</v>
      </c>
      <c r="O6" s="40" t="s">
        <v>8</v>
      </c>
      <c r="P6" s="52" t="s">
        <v>376</v>
      </c>
      <c r="Q6" s="52"/>
      <c r="R6" s="53"/>
      <c r="S6" s="54"/>
    </row>
    <row r="7" spans="1:19" s="26" customFormat="1" ht="17.25" customHeight="1">
      <c r="A7" s="27"/>
      <c r="B7" s="30"/>
      <c r="C7" s="31"/>
      <c r="D7" s="31"/>
      <c r="E7" s="64" t="s">
        <v>270</v>
      </c>
      <c r="F7" s="64" t="s">
        <v>271</v>
      </c>
      <c r="G7" s="64" t="s">
        <v>305</v>
      </c>
      <c r="H7" s="64">
        <v>91</v>
      </c>
      <c r="I7" s="31"/>
      <c r="J7" s="31" t="s">
        <v>448</v>
      </c>
      <c r="K7" s="31"/>
      <c r="L7" s="31" t="s">
        <v>446</v>
      </c>
      <c r="M7" s="31" t="s">
        <v>237</v>
      </c>
      <c r="N7" s="31"/>
      <c r="O7" s="40"/>
      <c r="P7" s="62" t="s">
        <v>409</v>
      </c>
      <c r="Q7" s="65" t="s">
        <v>372</v>
      </c>
      <c r="R7" s="66" t="s">
        <v>374</v>
      </c>
      <c r="S7" s="67" t="s">
        <v>373</v>
      </c>
    </row>
    <row r="8" spans="1:19" s="26" customFormat="1" ht="17.25" customHeight="1">
      <c r="A8" s="33"/>
      <c r="B8" s="34"/>
      <c r="C8" s="35"/>
      <c r="D8" s="35"/>
      <c r="E8" s="36"/>
      <c r="F8" s="36"/>
      <c r="G8" s="36"/>
      <c r="H8" s="36"/>
      <c r="I8" s="35"/>
      <c r="J8" s="35"/>
      <c r="K8" s="35"/>
      <c r="L8" s="35"/>
      <c r="M8" s="35"/>
      <c r="N8" s="35"/>
      <c r="O8" s="41"/>
      <c r="P8" s="63" t="s">
        <v>410</v>
      </c>
      <c r="Q8" s="37"/>
      <c r="R8" s="47"/>
      <c r="S8" s="51"/>
    </row>
    <row r="9" spans="1:19" ht="16.5" customHeight="1" hidden="1">
      <c r="A9" s="3"/>
      <c r="B9" s="6">
        <v>2003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7"/>
      <c r="Q9" s="7"/>
      <c r="R9" s="15"/>
      <c r="S9" s="8"/>
    </row>
    <row r="10" spans="1:19" ht="16.5" customHeight="1" hidden="1">
      <c r="A10" s="3"/>
      <c r="B10" s="5" t="s">
        <v>9</v>
      </c>
      <c r="C10" s="7">
        <v>9.4047</v>
      </c>
      <c r="D10" s="7">
        <v>8.6595</v>
      </c>
      <c r="E10" s="7"/>
      <c r="F10" s="7"/>
      <c r="G10" s="7"/>
      <c r="H10" s="7"/>
      <c r="I10" s="7">
        <v>7.7551</v>
      </c>
      <c r="J10" s="7"/>
      <c r="K10" s="7"/>
      <c r="L10" s="7"/>
      <c r="M10" s="7"/>
      <c r="N10" s="7">
        <v>8.9795</v>
      </c>
      <c r="O10" s="8">
        <v>6.995</v>
      </c>
      <c r="P10" s="7"/>
      <c r="Q10" s="7">
        <v>8.8515</v>
      </c>
      <c r="R10" s="15"/>
      <c r="S10" s="8"/>
    </row>
    <row r="11" spans="1:19" ht="16.5" customHeight="1" hidden="1">
      <c r="A11" s="3"/>
      <c r="B11" s="5" t="s">
        <v>10</v>
      </c>
      <c r="C11" s="7">
        <v>9.3024</v>
      </c>
      <c r="D11" s="7">
        <v>8.5934</v>
      </c>
      <c r="E11" s="7"/>
      <c r="F11" s="7"/>
      <c r="G11" s="7"/>
      <c r="H11" s="7"/>
      <c r="I11" s="7">
        <v>7.6035</v>
      </c>
      <c r="J11" s="7"/>
      <c r="K11" s="7"/>
      <c r="L11" s="7"/>
      <c r="M11" s="7"/>
      <c r="N11" s="7">
        <v>8.9807</v>
      </c>
      <c r="O11" s="8">
        <v>6.6261</v>
      </c>
      <c r="P11" s="7"/>
      <c r="Q11" s="7">
        <v>8.7814</v>
      </c>
      <c r="R11" s="15"/>
      <c r="S11" s="8"/>
    </row>
    <row r="12" spans="1:19" ht="16.5" customHeight="1" hidden="1">
      <c r="A12" s="3"/>
      <c r="B12" s="5" t="s">
        <v>11</v>
      </c>
      <c r="C12" s="7">
        <v>8.344</v>
      </c>
      <c r="D12" s="7">
        <v>7.8421</v>
      </c>
      <c r="E12" s="7"/>
      <c r="F12" s="7"/>
      <c r="G12" s="7"/>
      <c r="H12" s="7"/>
      <c r="I12" s="7">
        <v>7.7563</v>
      </c>
      <c r="J12" s="7"/>
      <c r="K12" s="7"/>
      <c r="L12" s="7"/>
      <c r="M12" s="7"/>
      <c r="N12" s="7">
        <v>8.0002</v>
      </c>
      <c r="O12" s="8">
        <v>6.6196</v>
      </c>
      <c r="P12" s="7"/>
      <c r="Q12" s="7">
        <v>8.7378</v>
      </c>
      <c r="R12" s="15"/>
      <c r="S12" s="8"/>
    </row>
    <row r="13" spans="1:19" ht="16.5" customHeight="1" hidden="1">
      <c r="A13" s="3"/>
      <c r="B13" s="5" t="s">
        <v>12</v>
      </c>
      <c r="C13" s="7">
        <v>8.3221</v>
      </c>
      <c r="D13" s="7">
        <v>7.8304</v>
      </c>
      <c r="E13" s="7"/>
      <c r="F13" s="7"/>
      <c r="G13" s="7"/>
      <c r="H13" s="7"/>
      <c r="I13" s="7">
        <v>7.5895</v>
      </c>
      <c r="J13" s="7"/>
      <c r="K13" s="7"/>
      <c r="L13" s="7"/>
      <c r="M13" s="7"/>
      <c r="N13" s="7">
        <v>7.7929</v>
      </c>
      <c r="O13" s="8">
        <v>6.8717</v>
      </c>
      <c r="P13" s="7"/>
      <c r="Q13" s="7">
        <v>8.6725</v>
      </c>
      <c r="R13" s="15"/>
      <c r="S13" s="8"/>
    </row>
    <row r="14" spans="1:19" ht="16.5" customHeight="1" hidden="1">
      <c r="A14" s="9"/>
      <c r="B14" s="4" t="s">
        <v>13</v>
      </c>
      <c r="C14" s="10">
        <f>(C9*4+C10*7+C11*7+C12*7+C13*6)/31</f>
        <v>7.719041935483871</v>
      </c>
      <c r="D14" s="10">
        <f>(D9*4+D10*7+D11*7+D12*7+D13*6)/31</f>
        <v>7.182174193548387</v>
      </c>
      <c r="E14" s="10"/>
      <c r="F14" s="10"/>
      <c r="G14" s="10"/>
      <c r="H14" s="10"/>
      <c r="I14" s="10">
        <f>(I9*4+I10*7+I11*7+I12*7+I13*6)/31</f>
        <v>6.688429032258065</v>
      </c>
      <c r="J14" s="10"/>
      <c r="K14" s="10"/>
      <c r="L14" s="10"/>
      <c r="M14" s="10"/>
      <c r="N14" s="10">
        <f>(N9*4+N10*7+N11*7+N12*7+N13*6)/31</f>
        <v>7.3703290322580655</v>
      </c>
      <c r="O14" s="4">
        <f>(O9*4+O10*7+O11*7+O12*7+O13*6)/31</f>
        <v>5.900487096774193</v>
      </c>
      <c r="P14" s="10"/>
      <c r="Q14" s="10">
        <f>(Q9*4+Q10*7+Q11*7+Q12*7+Q13*6)/31</f>
        <v>7.633222580645161</v>
      </c>
      <c r="R14" s="15"/>
      <c r="S14" s="8"/>
    </row>
    <row r="15" spans="1:19" ht="16.5" customHeight="1" hidden="1">
      <c r="A15" s="3"/>
      <c r="B15" s="5" t="s">
        <v>14</v>
      </c>
      <c r="C15" s="7">
        <v>8.4636</v>
      </c>
      <c r="D15" s="7">
        <v>7.978</v>
      </c>
      <c r="E15" s="7"/>
      <c r="F15" s="7"/>
      <c r="G15" s="7"/>
      <c r="H15" s="7"/>
      <c r="I15" s="7">
        <v>7.7282</v>
      </c>
      <c r="J15" s="7"/>
      <c r="K15" s="7"/>
      <c r="L15" s="7"/>
      <c r="M15" s="7"/>
      <c r="N15" s="7">
        <v>7.7795</v>
      </c>
      <c r="O15" s="8">
        <v>6.7225</v>
      </c>
      <c r="P15" s="7"/>
      <c r="Q15" s="7">
        <v>9.4903</v>
      </c>
      <c r="R15" s="15"/>
      <c r="S15" s="8"/>
    </row>
    <row r="16" spans="1:19" ht="16.5" customHeight="1" hidden="1">
      <c r="A16" s="3"/>
      <c r="B16" s="5" t="s">
        <v>15</v>
      </c>
      <c r="C16" s="7">
        <v>8.681</v>
      </c>
      <c r="D16" s="7">
        <v>8.2003</v>
      </c>
      <c r="E16" s="7"/>
      <c r="F16" s="7"/>
      <c r="G16" s="7"/>
      <c r="H16" s="7"/>
      <c r="I16" s="7">
        <v>7.7223</v>
      </c>
      <c r="J16" s="7"/>
      <c r="K16" s="7"/>
      <c r="L16" s="7"/>
      <c r="M16" s="7"/>
      <c r="N16" s="7">
        <v>7.9098</v>
      </c>
      <c r="O16" s="8">
        <v>6.7685</v>
      </c>
      <c r="P16" s="7"/>
      <c r="Q16" s="7">
        <v>9.4629</v>
      </c>
      <c r="R16" s="15"/>
      <c r="S16" s="8"/>
    </row>
    <row r="17" spans="1:19" ht="16.5" customHeight="1" hidden="1">
      <c r="A17" s="3"/>
      <c r="B17" s="5" t="s">
        <v>16</v>
      </c>
      <c r="C17" s="7">
        <v>8.5187</v>
      </c>
      <c r="D17" s="7">
        <v>8.0293</v>
      </c>
      <c r="E17" s="7"/>
      <c r="F17" s="7"/>
      <c r="G17" s="7"/>
      <c r="H17" s="7"/>
      <c r="I17" s="7">
        <v>7.4335</v>
      </c>
      <c r="J17" s="7"/>
      <c r="K17" s="7"/>
      <c r="L17" s="7"/>
      <c r="M17" s="7"/>
      <c r="N17" s="7">
        <v>7.6849</v>
      </c>
      <c r="O17" s="8">
        <v>6.9002</v>
      </c>
      <c r="P17" s="7"/>
      <c r="Q17" s="7">
        <v>9.489</v>
      </c>
      <c r="R17" s="15"/>
      <c r="S17" s="8"/>
    </row>
    <row r="18" spans="1:19" ht="16.5" customHeight="1" hidden="1">
      <c r="A18" s="3"/>
      <c r="B18" s="5" t="s">
        <v>17</v>
      </c>
      <c r="C18" s="7">
        <v>8.8507</v>
      </c>
      <c r="D18" s="7">
        <v>8.386</v>
      </c>
      <c r="E18" s="7"/>
      <c r="F18" s="7"/>
      <c r="G18" s="7"/>
      <c r="H18" s="7"/>
      <c r="I18" s="7">
        <v>7.5581</v>
      </c>
      <c r="J18" s="7"/>
      <c r="K18" s="7"/>
      <c r="L18" s="7"/>
      <c r="M18" s="7"/>
      <c r="N18" s="7">
        <v>7.7995</v>
      </c>
      <c r="O18" s="8">
        <v>7.0258</v>
      </c>
      <c r="P18" s="7"/>
      <c r="Q18" s="7">
        <v>9.4483</v>
      </c>
      <c r="R18" s="15"/>
      <c r="S18" s="8"/>
    </row>
    <row r="19" spans="1:19" ht="16.5" customHeight="1" hidden="1">
      <c r="A19" s="3"/>
      <c r="B19" s="5" t="s">
        <v>18</v>
      </c>
      <c r="C19" s="7">
        <v>9.029</v>
      </c>
      <c r="D19" s="7">
        <v>8.5418</v>
      </c>
      <c r="E19" s="7"/>
      <c r="F19" s="7"/>
      <c r="G19" s="7"/>
      <c r="H19" s="7"/>
      <c r="I19" s="7">
        <v>7.7116</v>
      </c>
      <c r="J19" s="7"/>
      <c r="K19" s="7"/>
      <c r="L19" s="7"/>
      <c r="M19" s="7"/>
      <c r="N19" s="7">
        <v>7.8309</v>
      </c>
      <c r="O19" s="8">
        <v>7.1035</v>
      </c>
      <c r="P19" s="7"/>
      <c r="Q19" s="7">
        <v>9.4559</v>
      </c>
      <c r="R19" s="15"/>
      <c r="S19" s="8"/>
    </row>
    <row r="20" spans="1:19" ht="16.5" customHeight="1" hidden="1">
      <c r="A20" s="3"/>
      <c r="B20" s="4" t="s">
        <v>13</v>
      </c>
      <c r="C20" s="11">
        <f>(C13*1+C15*7+C16*7+C17*7+C18*7+C19*1)/30</f>
        <v>8.631636666666667</v>
      </c>
      <c r="D20" s="11">
        <f>(D13*1+D15*7+D16*7+D17*7+D18*7+D19*1)/30</f>
        <v>8.150913333333332</v>
      </c>
      <c r="E20" s="11"/>
      <c r="F20" s="11"/>
      <c r="G20" s="11"/>
      <c r="H20" s="11"/>
      <c r="I20" s="11">
        <f>(I13*1+I15*7+I16*7+I17*7+I18*7+I19*1)/30</f>
        <v>7.613193333333333</v>
      </c>
      <c r="J20" s="11"/>
      <c r="K20" s="11"/>
      <c r="L20" s="11"/>
      <c r="M20" s="11"/>
      <c r="N20" s="11">
        <f>(N13*1+N15*7+N16*7+N17*7+N18*7+N19*1)/30</f>
        <v>7.794656666666667</v>
      </c>
      <c r="O20" s="38">
        <f>(O13*1+O15*7+O16*7+O17*7+O18*7+O19*1)/30</f>
        <v>6.86314</v>
      </c>
      <c r="P20" s="11"/>
      <c r="Q20" s="11">
        <f>(Q13*1+Q15*7+Q16*7+Q17*7+Q18*7+Q19*1)/30</f>
        <v>9.445396666666666</v>
      </c>
      <c r="R20" s="15"/>
      <c r="S20" s="8"/>
    </row>
    <row r="21" spans="1:19" ht="16.5" customHeight="1" hidden="1">
      <c r="A21" s="3"/>
      <c r="B21" s="5" t="s">
        <v>19</v>
      </c>
      <c r="C21" s="7">
        <v>9.46</v>
      </c>
      <c r="D21" s="7">
        <v>8.9852</v>
      </c>
      <c r="E21" s="7"/>
      <c r="F21" s="7"/>
      <c r="G21" s="7"/>
      <c r="H21" s="7"/>
      <c r="I21" s="7">
        <v>7.5591</v>
      </c>
      <c r="J21" s="7"/>
      <c r="K21" s="7"/>
      <c r="L21" s="7"/>
      <c r="M21" s="7"/>
      <c r="N21" s="7">
        <v>7.727</v>
      </c>
      <c r="O21" s="8">
        <v>7.22</v>
      </c>
      <c r="P21" s="7"/>
      <c r="Q21" s="7">
        <v>10.6162</v>
      </c>
      <c r="R21" s="15"/>
      <c r="S21" s="8"/>
    </row>
    <row r="22" spans="1:19" ht="16.5" customHeight="1" hidden="1">
      <c r="A22" s="3"/>
      <c r="B22" s="5" t="s">
        <v>20</v>
      </c>
      <c r="C22" s="7">
        <v>9.6152</v>
      </c>
      <c r="D22" s="7">
        <v>9.1298</v>
      </c>
      <c r="E22" s="7"/>
      <c r="F22" s="7"/>
      <c r="G22" s="7"/>
      <c r="H22" s="7"/>
      <c r="I22" s="7">
        <v>7.4389</v>
      </c>
      <c r="J22" s="7"/>
      <c r="K22" s="7"/>
      <c r="L22" s="7"/>
      <c r="M22" s="7"/>
      <c r="N22" s="7">
        <v>7.8776</v>
      </c>
      <c r="O22" s="8">
        <v>7.3629</v>
      </c>
      <c r="P22" s="7"/>
      <c r="Q22" s="7">
        <v>10.5636</v>
      </c>
      <c r="R22" s="15"/>
      <c r="S22" s="8"/>
    </row>
    <row r="23" spans="1:19" ht="16.5" customHeight="1" hidden="1">
      <c r="A23" s="3"/>
      <c r="B23" s="5" t="s">
        <v>21</v>
      </c>
      <c r="C23" s="7">
        <v>9.5143</v>
      </c>
      <c r="D23" s="7">
        <v>9.021</v>
      </c>
      <c r="E23" s="7"/>
      <c r="F23" s="7"/>
      <c r="G23" s="7"/>
      <c r="H23" s="7"/>
      <c r="I23" s="7">
        <v>8.1183</v>
      </c>
      <c r="J23" s="7"/>
      <c r="K23" s="7"/>
      <c r="L23" s="7"/>
      <c r="M23" s="7"/>
      <c r="N23" s="7">
        <v>7.9183</v>
      </c>
      <c r="O23" s="8">
        <v>7.0566</v>
      </c>
      <c r="P23" s="7"/>
      <c r="Q23" s="7">
        <v>10.5584</v>
      </c>
      <c r="R23" s="15"/>
      <c r="S23" s="8"/>
    </row>
    <row r="24" spans="1:19" ht="16.5" customHeight="1" hidden="1">
      <c r="A24" s="3"/>
      <c r="B24" s="5" t="s">
        <v>22</v>
      </c>
      <c r="C24" s="7">
        <v>9.7231</v>
      </c>
      <c r="D24" s="7">
        <v>9.2437</v>
      </c>
      <c r="E24" s="7"/>
      <c r="F24" s="7"/>
      <c r="G24" s="7"/>
      <c r="H24" s="7"/>
      <c r="I24" s="7">
        <v>8.2546</v>
      </c>
      <c r="J24" s="7"/>
      <c r="K24" s="7"/>
      <c r="L24" s="7"/>
      <c r="M24" s="7"/>
      <c r="N24" s="7">
        <v>7.9095</v>
      </c>
      <c r="O24" s="8">
        <v>6.9929</v>
      </c>
      <c r="P24" s="7"/>
      <c r="Q24" s="7">
        <v>10.6098</v>
      </c>
      <c r="R24" s="15"/>
      <c r="S24" s="8"/>
    </row>
    <row r="25" spans="1:19" ht="16.5" customHeight="1" hidden="1">
      <c r="A25" s="3"/>
      <c r="B25" s="4" t="s">
        <v>13</v>
      </c>
      <c r="C25" s="11">
        <f>(C19*6+C21*7+C22*7+C23*7+C24*4)/31</f>
        <v>9.457835483870968</v>
      </c>
      <c r="D25" s="11">
        <f>(D19*6+D21*7+D22*7+D23*7+D24*4)/31</f>
        <v>8.973470967741935</v>
      </c>
      <c r="E25" s="11"/>
      <c r="F25" s="11"/>
      <c r="G25" s="11"/>
      <c r="H25" s="11"/>
      <c r="I25" s="11">
        <f>(I19*6+I21*7+I22*7+I23*7+I24*4)/31</f>
        <v>7.777487096774194</v>
      </c>
      <c r="J25" s="11"/>
      <c r="K25" s="11"/>
      <c r="L25" s="11"/>
      <c r="M25" s="11"/>
      <c r="N25" s="11">
        <f>(N19*6+N21*7+N22*7+N23*7+N24*4)/31</f>
        <v>7.847861290322581</v>
      </c>
      <c r="O25" s="38">
        <f>(O19*6+O21*7+O22*7+O23*7+O24*4)/31</f>
        <v>7.1635193548387095</v>
      </c>
      <c r="P25" s="11"/>
      <c r="Q25" s="11">
        <f>(Q19*6+Q21*7+Q22*7+Q23*7+Q24*4)/31</f>
        <v>10.365870967741936</v>
      </c>
      <c r="R25" s="15"/>
      <c r="S25" s="8"/>
    </row>
    <row r="26" spans="1:19" ht="16.5" customHeight="1" hidden="1">
      <c r="A26" s="3"/>
      <c r="B26" s="5" t="s">
        <v>23</v>
      </c>
      <c r="C26" s="7">
        <v>10.3837</v>
      </c>
      <c r="D26" s="7">
        <v>9.9092</v>
      </c>
      <c r="E26" s="7"/>
      <c r="F26" s="7"/>
      <c r="G26" s="7"/>
      <c r="H26" s="7"/>
      <c r="I26" s="7">
        <v>8.9006</v>
      </c>
      <c r="J26" s="7"/>
      <c r="K26" s="7"/>
      <c r="L26" s="7"/>
      <c r="M26" s="7"/>
      <c r="N26" s="7">
        <v>8.7331</v>
      </c>
      <c r="O26" s="8">
        <v>7.0732</v>
      </c>
      <c r="P26" s="7"/>
      <c r="Q26" s="7">
        <v>10.6464</v>
      </c>
      <c r="R26" s="15"/>
      <c r="S26" s="8"/>
    </row>
    <row r="27" spans="1:19" ht="16.5" customHeight="1" hidden="1">
      <c r="A27" s="3"/>
      <c r="B27" s="5" t="s">
        <v>24</v>
      </c>
      <c r="C27" s="7">
        <v>10.4057</v>
      </c>
      <c r="D27" s="7">
        <v>9.919</v>
      </c>
      <c r="E27" s="7"/>
      <c r="F27" s="7"/>
      <c r="G27" s="7"/>
      <c r="H27" s="7"/>
      <c r="I27" s="7">
        <v>8.9038</v>
      </c>
      <c r="J27" s="7"/>
      <c r="K27" s="7"/>
      <c r="L27" s="7"/>
      <c r="M27" s="7"/>
      <c r="N27" s="7">
        <v>8.7462</v>
      </c>
      <c r="O27" s="8">
        <v>6.9416</v>
      </c>
      <c r="P27" s="7"/>
      <c r="Q27" s="7">
        <v>10.6455</v>
      </c>
      <c r="R27" s="15"/>
      <c r="S27" s="8"/>
    </row>
    <row r="28" spans="1:19" ht="16.5" customHeight="1" hidden="1">
      <c r="A28" s="3"/>
      <c r="B28" s="5" t="s">
        <v>25</v>
      </c>
      <c r="C28" s="7">
        <v>10.0853</v>
      </c>
      <c r="D28" s="7">
        <v>9.6065</v>
      </c>
      <c r="E28" s="7"/>
      <c r="F28" s="7"/>
      <c r="G28" s="7"/>
      <c r="H28" s="7"/>
      <c r="I28" s="7">
        <v>8.8017</v>
      </c>
      <c r="J28" s="7"/>
      <c r="K28" s="7"/>
      <c r="L28" s="7"/>
      <c r="M28" s="7"/>
      <c r="N28" s="7">
        <v>8.473</v>
      </c>
      <c r="O28" s="8">
        <v>6.6831</v>
      </c>
      <c r="P28" s="7"/>
      <c r="Q28" s="7">
        <v>10.5908</v>
      </c>
      <c r="R28" s="15"/>
      <c r="S28" s="8"/>
    </row>
    <row r="29" spans="1:19" ht="16.5" customHeight="1" hidden="1">
      <c r="A29" s="3"/>
      <c r="B29" s="5" t="s">
        <v>26</v>
      </c>
      <c r="C29" s="7">
        <v>10.0853</v>
      </c>
      <c r="D29" s="7">
        <v>9.6065</v>
      </c>
      <c r="E29" s="7"/>
      <c r="F29" s="7"/>
      <c r="G29" s="7"/>
      <c r="H29" s="7"/>
      <c r="I29" s="7">
        <v>8.8017</v>
      </c>
      <c r="J29" s="7"/>
      <c r="K29" s="7"/>
      <c r="L29" s="7"/>
      <c r="M29" s="7"/>
      <c r="N29" s="7">
        <v>8.473</v>
      </c>
      <c r="O29" s="8">
        <v>6.6831</v>
      </c>
      <c r="P29" s="7"/>
      <c r="Q29" s="7">
        <v>10.5484</v>
      </c>
      <c r="R29" s="15"/>
      <c r="S29" s="8"/>
    </row>
    <row r="30" spans="1:19" ht="16.5" customHeight="1" hidden="1">
      <c r="A30" s="3"/>
      <c r="B30" s="4" t="s">
        <v>13</v>
      </c>
      <c r="C30" s="11">
        <f>(C24*3+C26*7+C27*7+C28*7+C29*7)/31</f>
        <v>10.189977419354838</v>
      </c>
      <c r="D30" s="11">
        <f>(D24*3+D26*7+D27*7+D28*7+D29*7)/31</f>
        <v>9.710306451612903</v>
      </c>
      <c r="E30" s="11"/>
      <c r="F30" s="11"/>
      <c r="G30" s="11"/>
      <c r="H30" s="11"/>
      <c r="I30" s="11">
        <f>(I24*3+I26*7+I27*7+I28*7+I29*7)/31</f>
        <v>8.794141935483871</v>
      </c>
      <c r="J30" s="11"/>
      <c r="K30" s="11"/>
      <c r="L30" s="11"/>
      <c r="M30" s="11"/>
      <c r="N30" s="11">
        <f>(N24*3+N26*7+N27*7+N28*7+N29*7)/31</f>
        <v>8.538890322580645</v>
      </c>
      <c r="O30" s="38">
        <f>(O24*3+O26*7+O27*7+O28*7+O29*7)/31</f>
        <v>6.85953870967742</v>
      </c>
      <c r="P30" s="11"/>
      <c r="Q30" s="11">
        <f>(Q24*3+Q26*7+Q27*7+Q28*7+Q29*7)/31</f>
        <v>10.607970967741936</v>
      </c>
      <c r="R30" s="15"/>
      <c r="S30" s="8"/>
    </row>
    <row r="31" spans="1:19" ht="16.5" customHeight="1" hidden="1">
      <c r="A31" s="3"/>
      <c r="B31" s="5" t="s">
        <v>27</v>
      </c>
      <c r="C31" s="7">
        <v>9.5394</v>
      </c>
      <c r="D31" s="7">
        <v>9.0465</v>
      </c>
      <c r="E31" s="7"/>
      <c r="F31" s="7"/>
      <c r="G31" s="7"/>
      <c r="H31" s="7"/>
      <c r="I31" s="7">
        <v>8.6784</v>
      </c>
      <c r="J31" s="7"/>
      <c r="K31" s="7"/>
      <c r="L31" s="7"/>
      <c r="M31" s="7"/>
      <c r="N31" s="7">
        <v>8.9292</v>
      </c>
      <c r="O31" s="8">
        <v>6.6587</v>
      </c>
      <c r="P31" s="7"/>
      <c r="Q31" s="7">
        <v>10.4691</v>
      </c>
      <c r="R31" s="15"/>
      <c r="S31" s="8"/>
    </row>
    <row r="32" spans="1:19" ht="16.5" customHeight="1" hidden="1">
      <c r="A32" s="3"/>
      <c r="B32" s="5" t="s">
        <v>28</v>
      </c>
      <c r="C32" s="7">
        <v>8.9751</v>
      </c>
      <c r="D32" s="7">
        <v>8.4876</v>
      </c>
      <c r="E32" s="7"/>
      <c r="F32" s="7"/>
      <c r="G32" s="7"/>
      <c r="H32" s="7"/>
      <c r="I32" s="7">
        <v>8.1335</v>
      </c>
      <c r="J32" s="7"/>
      <c r="K32" s="7"/>
      <c r="L32" s="7"/>
      <c r="M32" s="7"/>
      <c r="N32" s="7">
        <v>8.2353</v>
      </c>
      <c r="O32" s="8">
        <v>6.4473</v>
      </c>
      <c r="P32" s="7"/>
      <c r="Q32" s="7">
        <v>10.5338</v>
      </c>
      <c r="R32" s="15"/>
      <c r="S32" s="8"/>
    </row>
    <row r="33" spans="1:19" ht="16.5" customHeight="1" hidden="1">
      <c r="A33" s="3"/>
      <c r="B33" s="5" t="s">
        <v>29</v>
      </c>
      <c r="C33" s="7">
        <v>8.5204</v>
      </c>
      <c r="D33" s="7">
        <v>8.0673</v>
      </c>
      <c r="E33" s="7"/>
      <c r="F33" s="7"/>
      <c r="G33" s="7"/>
      <c r="H33" s="7"/>
      <c r="I33" s="7">
        <v>7.9034</v>
      </c>
      <c r="J33" s="7"/>
      <c r="K33" s="7"/>
      <c r="L33" s="7"/>
      <c r="M33" s="7"/>
      <c r="N33" s="7">
        <v>8.0373</v>
      </c>
      <c r="O33" s="8">
        <v>6.2857</v>
      </c>
      <c r="P33" s="7"/>
      <c r="Q33" s="7">
        <v>10.4606</v>
      </c>
      <c r="R33" s="15"/>
      <c r="S33" s="8"/>
    </row>
    <row r="34" spans="1:19" ht="16.5" customHeight="1" hidden="1">
      <c r="A34" s="3"/>
      <c r="B34" s="5" t="s">
        <v>30</v>
      </c>
      <c r="C34" s="7">
        <v>8.3988</v>
      </c>
      <c r="D34" s="7">
        <v>7.9345</v>
      </c>
      <c r="E34" s="7"/>
      <c r="F34" s="7"/>
      <c r="G34" s="7"/>
      <c r="H34" s="7"/>
      <c r="I34" s="7">
        <v>7.7587</v>
      </c>
      <c r="J34" s="7"/>
      <c r="K34" s="7"/>
      <c r="L34" s="7"/>
      <c r="M34" s="7"/>
      <c r="N34" s="7">
        <v>7.7738</v>
      </c>
      <c r="O34" s="8">
        <v>6.1485</v>
      </c>
      <c r="P34" s="7"/>
      <c r="Q34" s="7">
        <v>10.443</v>
      </c>
      <c r="R34" s="15"/>
      <c r="S34" s="8"/>
    </row>
    <row r="35" spans="1:19" ht="16.5" customHeight="1" hidden="1">
      <c r="A35" s="3"/>
      <c r="B35" s="5" t="s">
        <v>31</v>
      </c>
      <c r="C35" s="7">
        <v>8.8361</v>
      </c>
      <c r="D35" s="7">
        <v>8.3635</v>
      </c>
      <c r="E35" s="7"/>
      <c r="F35" s="7"/>
      <c r="G35" s="7"/>
      <c r="H35" s="7"/>
      <c r="I35" s="7">
        <v>8.0392</v>
      </c>
      <c r="J35" s="7"/>
      <c r="K35" s="7"/>
      <c r="L35" s="7"/>
      <c r="M35" s="7"/>
      <c r="N35" s="7">
        <v>7.9545</v>
      </c>
      <c r="O35" s="8">
        <v>6.311</v>
      </c>
      <c r="P35" s="7"/>
      <c r="Q35" s="7">
        <v>10.3178</v>
      </c>
      <c r="R35" s="15"/>
      <c r="S35" s="8"/>
    </row>
    <row r="36" spans="1:19" ht="16.5" customHeight="1" hidden="1">
      <c r="A36" s="3"/>
      <c r="B36" s="4" t="s">
        <v>13</v>
      </c>
      <c r="C36" s="11">
        <f>(C31*7+C32*7+C33*7+C34*7+C35*2)/30</f>
        <v>8.856936666666664</v>
      </c>
      <c r="D36" s="11">
        <f>(D31*7+D32*7+D33*7+D34*7+D35*2)/30</f>
        <v>8.382609999999998</v>
      </c>
      <c r="E36" s="11"/>
      <c r="F36" s="11"/>
      <c r="G36" s="11"/>
      <c r="H36" s="11"/>
      <c r="I36" s="11">
        <f>(I31*7+I32*7+I33*7+I34*7+I35*2)/30</f>
        <v>8.113213333333332</v>
      </c>
      <c r="J36" s="11"/>
      <c r="K36" s="11"/>
      <c r="L36" s="11"/>
      <c r="M36" s="11"/>
      <c r="N36" s="11">
        <f>(N31*7+N32*7+N33*7+N34*7+N35*2)/30</f>
        <v>8.224606666666666</v>
      </c>
      <c r="O36" s="38">
        <f>(O31*7+O32*7+O33*7+O34*7+O35*2)/30</f>
        <v>6.380113333333335</v>
      </c>
      <c r="P36" s="11"/>
      <c r="Q36" s="11">
        <f>(Q31*7+Q32*7+Q33*7+Q34*7+Q35*2)/30</f>
        <v>10.466036666666668</v>
      </c>
      <c r="R36" s="15"/>
      <c r="S36" s="8"/>
    </row>
    <row r="37" spans="1:19" ht="16.5" customHeight="1" hidden="1">
      <c r="A37" s="3"/>
      <c r="B37" s="5" t="s">
        <v>32</v>
      </c>
      <c r="C37" s="7">
        <v>9.0044</v>
      </c>
      <c r="D37" s="7">
        <v>8.539</v>
      </c>
      <c r="E37" s="7"/>
      <c r="F37" s="7"/>
      <c r="G37" s="7"/>
      <c r="H37" s="7"/>
      <c r="I37" s="7">
        <v>8.2261</v>
      </c>
      <c r="J37" s="7"/>
      <c r="K37" s="7"/>
      <c r="L37" s="7"/>
      <c r="M37" s="7"/>
      <c r="N37" s="7">
        <v>8.1709</v>
      </c>
      <c r="O37" s="8">
        <v>6.532</v>
      </c>
      <c r="P37" s="7"/>
      <c r="Q37" s="7">
        <v>9.6665</v>
      </c>
      <c r="R37" s="15"/>
      <c r="S37" s="8"/>
    </row>
    <row r="38" spans="1:19" ht="16.5" customHeight="1" hidden="1">
      <c r="A38" s="3"/>
      <c r="B38" s="5" t="s">
        <v>33</v>
      </c>
      <c r="C38" s="7">
        <v>9.5611</v>
      </c>
      <c r="D38" s="7">
        <v>9.0875</v>
      </c>
      <c r="E38" s="7"/>
      <c r="F38" s="7"/>
      <c r="G38" s="7"/>
      <c r="H38" s="7"/>
      <c r="I38" s="7">
        <v>9.0179</v>
      </c>
      <c r="J38" s="7"/>
      <c r="K38" s="7"/>
      <c r="L38" s="7"/>
      <c r="M38" s="7"/>
      <c r="N38" s="7">
        <v>8.7947</v>
      </c>
      <c r="O38" s="8">
        <v>6.7311</v>
      </c>
      <c r="P38" s="7"/>
      <c r="Q38" s="7">
        <v>9.5573</v>
      </c>
      <c r="R38" s="15"/>
      <c r="S38" s="8"/>
    </row>
    <row r="39" spans="1:19" ht="16.5" customHeight="1" hidden="1">
      <c r="A39" s="3"/>
      <c r="B39" s="5" t="s">
        <v>34</v>
      </c>
      <c r="C39" s="7">
        <v>9.2933</v>
      </c>
      <c r="D39" s="7">
        <v>8.8307</v>
      </c>
      <c r="E39" s="7"/>
      <c r="F39" s="7"/>
      <c r="G39" s="7"/>
      <c r="H39" s="7"/>
      <c r="I39" s="7">
        <v>8.6351</v>
      </c>
      <c r="J39" s="7"/>
      <c r="K39" s="7"/>
      <c r="L39" s="7"/>
      <c r="M39" s="7"/>
      <c r="N39" s="7">
        <v>8.403</v>
      </c>
      <c r="O39" s="8">
        <v>6.4736</v>
      </c>
      <c r="P39" s="7"/>
      <c r="Q39" s="7">
        <v>9.6335</v>
      </c>
      <c r="R39" s="15"/>
      <c r="S39" s="8"/>
    </row>
    <row r="40" spans="1:19" ht="16.5" customHeight="1" hidden="1">
      <c r="A40" s="3"/>
      <c r="B40" s="5" t="s">
        <v>35</v>
      </c>
      <c r="C40" s="7">
        <v>9.3415</v>
      </c>
      <c r="D40" s="7">
        <v>8.8713</v>
      </c>
      <c r="E40" s="7"/>
      <c r="F40" s="7"/>
      <c r="G40" s="7"/>
      <c r="H40" s="7"/>
      <c r="I40" s="7">
        <v>8.5068</v>
      </c>
      <c r="J40" s="7"/>
      <c r="K40" s="7"/>
      <c r="L40" s="7"/>
      <c r="M40" s="7"/>
      <c r="N40" s="7">
        <v>8.2373</v>
      </c>
      <c r="O40" s="8">
        <v>6.2873</v>
      </c>
      <c r="P40" s="7"/>
      <c r="Q40" s="7">
        <v>9.6806</v>
      </c>
      <c r="R40" s="15"/>
      <c r="S40" s="8"/>
    </row>
    <row r="41" spans="1:19" ht="16.5" customHeight="1" hidden="1">
      <c r="A41" s="3"/>
      <c r="B41" s="4" t="s">
        <v>13</v>
      </c>
      <c r="C41" s="11">
        <f>(C35*5+C37*7+C38*7+C39*7+C40*5)/31</f>
        <v>9.222567741935485</v>
      </c>
      <c r="D41" s="11">
        <f>(D35*5+D37*7+D38*7+D39*7+D40*5)/31</f>
        <v>8.754012903225806</v>
      </c>
      <c r="E41" s="11"/>
      <c r="F41" s="11"/>
      <c r="G41" s="11"/>
      <c r="H41" s="11"/>
      <c r="I41" s="11">
        <f>(I35*5+I37*7+I38*7+I39*7+I40*5)/31</f>
        <v>8.512377419354838</v>
      </c>
      <c r="J41" s="11"/>
      <c r="K41" s="11"/>
      <c r="L41" s="11"/>
      <c r="M41" s="11"/>
      <c r="N41" s="11">
        <f>(N35*5+N37*7+N38*7+N39*7+N40*5)/31</f>
        <v>8.339974193548388</v>
      </c>
      <c r="O41" s="38">
        <f>(O35*5+O37*7+O38*7+O39*7+O40*5)/31</f>
        <v>6.488658064516129</v>
      </c>
      <c r="P41" s="11"/>
      <c r="Q41" s="11">
        <f>(Q35*5+Q37*7+Q38*7+Q39*7+Q40*5)/31</f>
        <v>9.741712903225807</v>
      </c>
      <c r="R41" s="15"/>
      <c r="S41" s="8"/>
    </row>
    <row r="42" spans="1:19" ht="16.5" customHeight="1" hidden="1">
      <c r="A42" s="3"/>
      <c r="B42" s="5" t="s">
        <v>36</v>
      </c>
      <c r="C42" s="7">
        <v>9.326</v>
      </c>
      <c r="D42" s="7">
        <v>8.8565</v>
      </c>
      <c r="E42" s="7"/>
      <c r="F42" s="7"/>
      <c r="G42" s="7"/>
      <c r="H42" s="7"/>
      <c r="I42" s="7">
        <v>8.5658</v>
      </c>
      <c r="J42" s="7"/>
      <c r="K42" s="7"/>
      <c r="L42" s="7"/>
      <c r="M42" s="7"/>
      <c r="N42" s="7">
        <v>8.2168</v>
      </c>
      <c r="O42" s="8">
        <v>6.4102</v>
      </c>
      <c r="P42" s="7"/>
      <c r="Q42" s="7">
        <v>10.5694</v>
      </c>
      <c r="R42" s="15"/>
      <c r="S42" s="8"/>
    </row>
    <row r="43" spans="1:19" ht="16.5" customHeight="1" hidden="1">
      <c r="A43" s="3"/>
      <c r="B43" s="5" t="s">
        <v>37</v>
      </c>
      <c r="C43" s="7">
        <v>9.2146</v>
      </c>
      <c r="D43" s="7">
        <v>8.7449</v>
      </c>
      <c r="E43" s="7"/>
      <c r="F43" s="7"/>
      <c r="G43" s="7"/>
      <c r="H43" s="7"/>
      <c r="I43" s="7">
        <v>9.1496</v>
      </c>
      <c r="J43" s="7"/>
      <c r="K43" s="7"/>
      <c r="L43" s="7"/>
      <c r="M43" s="7"/>
      <c r="N43" s="7">
        <v>8.7367</v>
      </c>
      <c r="O43" s="8">
        <v>6.5558</v>
      </c>
      <c r="P43" s="7"/>
      <c r="Q43" s="7">
        <v>10.5617</v>
      </c>
      <c r="R43" s="15"/>
      <c r="S43" s="8"/>
    </row>
    <row r="44" spans="1:19" ht="16.5" customHeight="1" hidden="1">
      <c r="A44" s="3"/>
      <c r="B44" s="5" t="s">
        <v>38</v>
      </c>
      <c r="C44" s="7">
        <v>9.5117</v>
      </c>
      <c r="D44" s="7">
        <v>9.0394</v>
      </c>
      <c r="E44" s="7"/>
      <c r="F44" s="7"/>
      <c r="G44" s="7"/>
      <c r="H44" s="7"/>
      <c r="I44" s="7">
        <v>9.4744</v>
      </c>
      <c r="J44" s="7"/>
      <c r="K44" s="7"/>
      <c r="L44" s="7"/>
      <c r="M44" s="7"/>
      <c r="N44" s="7">
        <v>9.0874</v>
      </c>
      <c r="O44" s="8">
        <v>6.4607</v>
      </c>
      <c r="P44" s="7"/>
      <c r="Q44" s="7">
        <v>10.5614</v>
      </c>
      <c r="R44" s="15"/>
      <c r="S44" s="8"/>
    </row>
    <row r="45" spans="1:19" ht="16.5" customHeight="1" hidden="1">
      <c r="A45" s="3"/>
      <c r="B45" s="5" t="s">
        <v>39</v>
      </c>
      <c r="C45" s="7">
        <v>9.28</v>
      </c>
      <c r="D45" s="7">
        <v>8.7934</v>
      </c>
      <c r="E45" s="7"/>
      <c r="F45" s="7"/>
      <c r="G45" s="7"/>
      <c r="H45" s="7"/>
      <c r="I45" s="7">
        <v>9.301</v>
      </c>
      <c r="J45" s="7"/>
      <c r="K45" s="7"/>
      <c r="L45" s="7"/>
      <c r="M45" s="7"/>
      <c r="N45" s="7">
        <v>8.9449</v>
      </c>
      <c r="O45" s="8">
        <v>6.4233</v>
      </c>
      <c r="P45" s="7"/>
      <c r="Q45" s="7">
        <v>10.5603</v>
      </c>
      <c r="R45" s="15"/>
      <c r="S45" s="8"/>
    </row>
    <row r="46" spans="1:19" ht="16.5" customHeight="1" hidden="1">
      <c r="A46" s="3"/>
      <c r="B46" s="4" t="s">
        <v>13</v>
      </c>
      <c r="C46" s="11">
        <f>(C40*2+C42*7+C43*7+C44*7+C45*7)/30</f>
        <v>9.333636666666667</v>
      </c>
      <c r="D46" s="11">
        <f>(D40*2+D42*7+D43*7+D44*7+D45*7)/30</f>
        <v>8.8594</v>
      </c>
      <c r="E46" s="11"/>
      <c r="F46" s="11"/>
      <c r="G46" s="11"/>
      <c r="H46" s="11"/>
      <c r="I46" s="11">
        <f>(I40*2+I42*7+I43*7+I44*7+I45*7)/30</f>
        <v>9.08164</v>
      </c>
      <c r="J46" s="11"/>
      <c r="K46" s="11"/>
      <c r="L46" s="11"/>
      <c r="M46" s="11"/>
      <c r="N46" s="11">
        <f>(N40*2+N42*7+N43*7+N44*7+N45*7)/30</f>
        <v>8.712506666666666</v>
      </c>
      <c r="O46" s="38">
        <f>(O40*2+O42*7+O43*7+O44*7+O45*7)/30</f>
        <v>6.450819999999999</v>
      </c>
      <c r="P46" s="11"/>
      <c r="Q46" s="11">
        <f>(Q40*2+Q42*7+Q43*7+Q44*7+Q45*7)/30</f>
        <v>10.50436</v>
      </c>
      <c r="R46" s="15"/>
      <c r="S46" s="8"/>
    </row>
    <row r="47" spans="1:19" ht="16.5" customHeight="1" hidden="1">
      <c r="A47" s="3"/>
      <c r="B47" s="5" t="s">
        <v>40</v>
      </c>
      <c r="C47" s="7">
        <v>9.5502</v>
      </c>
      <c r="D47" s="7">
        <v>9.0813</v>
      </c>
      <c r="E47" s="7"/>
      <c r="F47" s="7"/>
      <c r="G47" s="7"/>
      <c r="H47" s="7"/>
      <c r="I47" s="7">
        <v>9.3987</v>
      </c>
      <c r="J47" s="7"/>
      <c r="K47" s="7"/>
      <c r="L47" s="7"/>
      <c r="M47" s="7"/>
      <c r="N47" s="7">
        <v>8.6589</v>
      </c>
      <c r="O47" s="8">
        <v>6.3477</v>
      </c>
      <c r="P47" s="7"/>
      <c r="Q47" s="7">
        <v>10.5613</v>
      </c>
      <c r="R47" s="15"/>
      <c r="S47" s="8"/>
    </row>
    <row r="48" spans="1:19" ht="16.5" customHeight="1" hidden="1">
      <c r="A48" s="3"/>
      <c r="B48" s="5" t="s">
        <v>41</v>
      </c>
      <c r="C48" s="7">
        <v>9.5502</v>
      </c>
      <c r="D48" s="7">
        <v>9.0813</v>
      </c>
      <c r="E48" s="7"/>
      <c r="F48" s="7"/>
      <c r="G48" s="7"/>
      <c r="H48" s="7"/>
      <c r="I48" s="7">
        <v>9.3987</v>
      </c>
      <c r="J48" s="7"/>
      <c r="K48" s="7"/>
      <c r="L48" s="7"/>
      <c r="M48" s="7"/>
      <c r="N48" s="7">
        <v>8.6589</v>
      </c>
      <c r="O48" s="8">
        <v>6.3477</v>
      </c>
      <c r="P48" s="7"/>
      <c r="Q48" s="7">
        <v>10.5613</v>
      </c>
      <c r="R48" s="15"/>
      <c r="S48" s="8"/>
    </row>
    <row r="49" spans="1:19" ht="16.5" customHeight="1" hidden="1">
      <c r="A49" s="3"/>
      <c r="B49" s="5" t="s">
        <v>42</v>
      </c>
      <c r="C49" s="7">
        <v>9.2146</v>
      </c>
      <c r="D49" s="7">
        <v>8.7449</v>
      </c>
      <c r="E49" s="7"/>
      <c r="F49" s="7"/>
      <c r="G49" s="7"/>
      <c r="H49" s="7"/>
      <c r="I49" s="7">
        <v>9.1496</v>
      </c>
      <c r="J49" s="7"/>
      <c r="K49" s="7"/>
      <c r="L49" s="7"/>
      <c r="M49" s="7"/>
      <c r="N49" s="7">
        <v>8.7367</v>
      </c>
      <c r="O49" s="8">
        <v>6.5526</v>
      </c>
      <c r="P49" s="7"/>
      <c r="Q49" s="7">
        <v>11.8431</v>
      </c>
      <c r="R49" s="15"/>
      <c r="S49" s="8"/>
    </row>
    <row r="50" spans="1:19" ht="16.5" customHeight="1" hidden="1">
      <c r="A50" s="3"/>
      <c r="B50" s="5" t="s">
        <v>43</v>
      </c>
      <c r="C50" s="7">
        <v>9.5117</v>
      </c>
      <c r="D50" s="7">
        <v>9.0394</v>
      </c>
      <c r="E50" s="7"/>
      <c r="F50" s="7"/>
      <c r="G50" s="7"/>
      <c r="H50" s="7"/>
      <c r="I50" s="7">
        <v>9.4744</v>
      </c>
      <c r="J50" s="7"/>
      <c r="K50" s="7"/>
      <c r="L50" s="7"/>
      <c r="M50" s="7"/>
      <c r="N50" s="7">
        <v>9.0874</v>
      </c>
      <c r="O50" s="8">
        <v>6.5765</v>
      </c>
      <c r="P50" s="7"/>
      <c r="Q50" s="7">
        <v>11.8121</v>
      </c>
      <c r="R50" s="15"/>
      <c r="S50" s="8"/>
    </row>
    <row r="51" spans="1:19" ht="16.5" customHeight="1" hidden="1">
      <c r="A51" s="3"/>
      <c r="B51" s="5" t="s">
        <v>44</v>
      </c>
      <c r="C51" s="7">
        <v>9.5117</v>
      </c>
      <c r="D51" s="7">
        <v>9.0394</v>
      </c>
      <c r="E51" s="7"/>
      <c r="F51" s="7"/>
      <c r="G51" s="7"/>
      <c r="H51" s="7"/>
      <c r="I51" s="7">
        <v>9.4744</v>
      </c>
      <c r="J51" s="7"/>
      <c r="K51" s="7"/>
      <c r="L51" s="7"/>
      <c r="M51" s="7"/>
      <c r="N51" s="7">
        <v>9.0874</v>
      </c>
      <c r="O51" s="8">
        <v>6.4721</v>
      </c>
      <c r="P51" s="7"/>
      <c r="Q51" s="7">
        <v>11.7656</v>
      </c>
      <c r="R51" s="15"/>
      <c r="S51" s="8"/>
    </row>
    <row r="52" spans="1:19" ht="16.5" customHeight="1" hidden="1">
      <c r="A52" s="3"/>
      <c r="B52" s="5" t="s">
        <v>45</v>
      </c>
      <c r="C52" s="7">
        <v>9.28</v>
      </c>
      <c r="D52" s="7">
        <v>8.7934</v>
      </c>
      <c r="E52" s="7"/>
      <c r="F52" s="7"/>
      <c r="G52" s="7"/>
      <c r="H52" s="7"/>
      <c r="I52" s="7">
        <v>9.301</v>
      </c>
      <c r="J52" s="7"/>
      <c r="K52" s="7"/>
      <c r="L52" s="7"/>
      <c r="M52" s="7"/>
      <c r="N52" s="7">
        <v>8.9449</v>
      </c>
      <c r="O52" s="8">
        <v>6.2804</v>
      </c>
      <c r="P52" s="7"/>
      <c r="Q52" s="7">
        <v>11.7544</v>
      </c>
      <c r="R52" s="15"/>
      <c r="S52" s="8"/>
    </row>
    <row r="53" spans="1:19" ht="16.5" customHeight="1" hidden="1">
      <c r="A53" s="3"/>
      <c r="B53" s="4" t="s">
        <v>13</v>
      </c>
      <c r="C53" s="11">
        <f>(C47*4+C48*3+C49*7+C50*7+C51*7+C52*3)/31</f>
        <v>9.43088387096774</v>
      </c>
      <c r="D53" s="11">
        <f>(D47*4+D48*3+D49*7+D50*7+D51*7+D52*3)/31</f>
        <v>8.958554838709677</v>
      </c>
      <c r="E53" s="11"/>
      <c r="F53" s="11"/>
      <c r="G53" s="11"/>
      <c r="H53" s="11"/>
      <c r="I53" s="11">
        <f>(I47*4+I48*3+I49*7+I50*7+I51*7+I52*3)/31</f>
        <v>9.367183870967741</v>
      </c>
      <c r="J53" s="11"/>
      <c r="K53" s="11"/>
      <c r="L53" s="11"/>
      <c r="M53" s="11"/>
      <c r="N53" s="11">
        <f>(N47*4+N48*3+N49*7+N50*7+N51*7+N52*3)/31</f>
        <v>8.89766129032258</v>
      </c>
      <c r="O53" s="38">
        <f>(O47*4+O48*3+O49*7+O50*7+O51*7+O52*3)/31</f>
        <v>6.467209677419355</v>
      </c>
      <c r="P53" s="11"/>
      <c r="Q53" s="11">
        <f>(Q47*4+Q48*3+Q49*7+Q50*7+Q51*7+Q52*3)/31</f>
        <v>11.520577419354836</v>
      </c>
      <c r="R53" s="15"/>
      <c r="S53" s="8"/>
    </row>
    <row r="54" spans="1:19" ht="16.5" customHeight="1" hidden="1">
      <c r="A54" s="3"/>
      <c r="B54" s="6">
        <v>2004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  <c r="P54" s="7"/>
      <c r="Q54" s="7"/>
      <c r="R54" s="15"/>
      <c r="S54" s="8"/>
    </row>
    <row r="55" spans="1:19" ht="16.5" customHeight="1" hidden="1">
      <c r="A55" s="3"/>
      <c r="B55" s="5" t="s">
        <v>46</v>
      </c>
      <c r="C55" s="7">
        <v>11.6214</v>
      </c>
      <c r="D55" s="7">
        <v>11.1694</v>
      </c>
      <c r="E55" s="7">
        <f>(0.9*9.6745)+2.4506</f>
        <v>11.15765</v>
      </c>
      <c r="F55" s="7"/>
      <c r="G55" s="7"/>
      <c r="H55" s="7"/>
      <c r="I55" s="7">
        <v>9.8058</v>
      </c>
      <c r="J55" s="7">
        <v>10.1002</v>
      </c>
      <c r="K55" s="7"/>
      <c r="L55" s="7"/>
      <c r="M55" s="7"/>
      <c r="N55" s="7">
        <v>9.7724</v>
      </c>
      <c r="O55" s="8">
        <v>6.3977</v>
      </c>
      <c r="P55" s="7"/>
      <c r="Q55" s="7">
        <v>12.0706</v>
      </c>
      <c r="R55" s="15"/>
      <c r="S55" s="8"/>
    </row>
    <row r="56" spans="1:19" ht="16.5" customHeight="1" hidden="1">
      <c r="A56" s="3"/>
      <c r="B56" s="5" t="s">
        <v>47</v>
      </c>
      <c r="C56" s="7">
        <f>9.735+2.6996</f>
        <v>12.4346</v>
      </c>
      <c r="D56" s="7">
        <f>9.1873+2.8219</f>
        <v>12.0092</v>
      </c>
      <c r="E56" s="7">
        <f>(0.9*9.6745)+2.548</f>
        <v>11.25505</v>
      </c>
      <c r="F56" s="7"/>
      <c r="G56" s="7"/>
      <c r="H56" s="7"/>
      <c r="I56" s="7">
        <v>10.0785</v>
      </c>
      <c r="J56" s="7">
        <f>9.51+0.9608</f>
        <v>10.4708</v>
      </c>
      <c r="K56" s="7"/>
      <c r="L56" s="7"/>
      <c r="M56" s="7"/>
      <c r="N56" s="7">
        <f>9.0132+1.0565</f>
        <v>10.0697</v>
      </c>
      <c r="O56" s="8">
        <v>6.8066</v>
      </c>
      <c r="P56" s="7"/>
      <c r="Q56" s="7">
        <v>11.9312</v>
      </c>
      <c r="R56" s="15"/>
      <c r="S56" s="8"/>
    </row>
    <row r="57" spans="1:19" ht="16.5" customHeight="1" hidden="1">
      <c r="A57" s="3"/>
      <c r="B57" s="5" t="s">
        <v>48</v>
      </c>
      <c r="C57" s="7">
        <f>9.735+1.4725</f>
        <v>11.2075</v>
      </c>
      <c r="D57" s="7">
        <f>9.1873+1.594</f>
        <v>10.7813</v>
      </c>
      <c r="E57" s="7">
        <f>(0.9*9.6745)+1.4439</f>
        <v>10.15095</v>
      </c>
      <c r="F57" s="7"/>
      <c r="G57" s="7"/>
      <c r="H57" s="7"/>
      <c r="I57" s="7">
        <v>10.0569</v>
      </c>
      <c r="J57" s="7">
        <f>9.551+0.9509</f>
        <v>10.501900000000001</v>
      </c>
      <c r="K57" s="7"/>
      <c r="L57" s="7"/>
      <c r="M57" s="7"/>
      <c r="N57" s="7">
        <f>9.0132+1.0456</f>
        <v>10.0588</v>
      </c>
      <c r="O57" s="8">
        <v>6.8898</v>
      </c>
      <c r="P57" s="7"/>
      <c r="Q57" s="7">
        <v>11.874</v>
      </c>
      <c r="R57" s="15"/>
      <c r="S57" s="8"/>
    </row>
    <row r="58" spans="1:19" ht="16.5" customHeight="1" hidden="1">
      <c r="A58" s="3"/>
      <c r="B58" s="5" t="s">
        <v>49</v>
      </c>
      <c r="C58" s="7">
        <f>9.735+0.9662</f>
        <v>10.7012</v>
      </c>
      <c r="D58" s="7">
        <f>9.1873+1.0856</f>
        <v>10.2729</v>
      </c>
      <c r="E58" s="7">
        <f>(0.9*9.6745)+0.9886</f>
        <v>9.69565</v>
      </c>
      <c r="F58" s="7"/>
      <c r="G58" s="7"/>
      <c r="H58" s="7"/>
      <c r="I58" s="7">
        <v>9.8199</v>
      </c>
      <c r="J58" s="7">
        <f>9.51+0.9829</f>
        <v>10.4929</v>
      </c>
      <c r="K58" s="7"/>
      <c r="L58" s="7"/>
      <c r="M58" s="7"/>
      <c r="N58" s="7">
        <f>9.0132+1.0756</f>
        <v>10.088799999999999</v>
      </c>
      <c r="O58" s="8">
        <v>6.7984</v>
      </c>
      <c r="P58" s="7"/>
      <c r="Q58" s="7">
        <v>11.8971</v>
      </c>
      <c r="R58" s="15"/>
      <c r="S58" s="8"/>
    </row>
    <row r="59" spans="1:19" ht="16.5" customHeight="1" hidden="1">
      <c r="A59" s="3"/>
      <c r="B59" s="4" t="s">
        <v>13</v>
      </c>
      <c r="C59" s="11">
        <f aca="true" t="shared" si="0" ref="C59:Q59">(C52*4+C55*7+C56*7+C57*7+C58*6)/31</f>
        <v>11.231345161290323</v>
      </c>
      <c r="D59" s="11">
        <f t="shared" si="0"/>
        <v>10.7913</v>
      </c>
      <c r="E59" s="11">
        <f t="shared" si="0"/>
        <v>9.229659677419356</v>
      </c>
      <c r="F59" s="11"/>
      <c r="G59" s="11"/>
      <c r="H59" s="11"/>
      <c r="I59" s="11">
        <f t="shared" si="0"/>
        <v>9.861670967741935</v>
      </c>
      <c r="J59" s="11">
        <f t="shared" si="0"/>
        <v>9.047345161290323</v>
      </c>
      <c r="K59" s="11"/>
      <c r="L59" s="11"/>
      <c r="M59" s="11"/>
      <c r="N59" s="11">
        <f t="shared" si="0"/>
        <v>9.858667741935484</v>
      </c>
      <c r="O59" s="38">
        <f t="shared" si="0"/>
        <v>6.663570967741936</v>
      </c>
      <c r="P59" s="11"/>
      <c r="Q59" s="11">
        <f t="shared" si="0"/>
        <v>11.920348387096775</v>
      </c>
      <c r="R59" s="15"/>
      <c r="S59" s="8"/>
    </row>
    <row r="60" spans="1:19" ht="16.5" customHeight="1" hidden="1">
      <c r="A60" s="3"/>
      <c r="B60" s="5" t="s">
        <v>50</v>
      </c>
      <c r="C60" s="7">
        <f>9.735+0.5155</f>
        <v>10.250499999999999</v>
      </c>
      <c r="D60" s="7">
        <f>9.1873+0.618</f>
        <v>9.8053</v>
      </c>
      <c r="E60" s="7">
        <f>(0.9*9.6745)+0.572</f>
        <v>9.27905</v>
      </c>
      <c r="F60" s="7"/>
      <c r="G60" s="7"/>
      <c r="H60" s="7"/>
      <c r="I60" s="7">
        <v>9.0951</v>
      </c>
      <c r="J60" s="7">
        <f>9.51+0.266</f>
        <v>9.776</v>
      </c>
      <c r="K60" s="7"/>
      <c r="L60" s="7"/>
      <c r="M60" s="7"/>
      <c r="N60" s="7">
        <f>9.0132+0.2754</f>
        <v>9.288599999999999</v>
      </c>
      <c r="O60" s="8">
        <v>6.8178</v>
      </c>
      <c r="P60" s="7"/>
      <c r="Q60" s="7">
        <v>12.3481</v>
      </c>
      <c r="R60" s="15"/>
      <c r="S60" s="8"/>
    </row>
    <row r="61" spans="1:19" ht="16.5" customHeight="1" hidden="1">
      <c r="A61" s="3"/>
      <c r="B61" s="5" t="s">
        <v>51</v>
      </c>
      <c r="C61" s="7">
        <f>9.735+0.1801</f>
        <v>9.915099999999999</v>
      </c>
      <c r="D61" s="7">
        <f>9.1873-0.0753</f>
        <v>9.112</v>
      </c>
      <c r="E61" s="7">
        <f>(0.9*9.6745)-0.0542</f>
        <v>8.65285</v>
      </c>
      <c r="F61" s="7"/>
      <c r="G61" s="7"/>
      <c r="H61" s="7"/>
      <c r="I61" s="7">
        <v>9.2083</v>
      </c>
      <c r="J61" s="7">
        <f>9.5789+0.31</f>
        <v>9.888900000000001</v>
      </c>
      <c r="K61" s="7"/>
      <c r="L61" s="7"/>
      <c r="M61" s="7"/>
      <c r="N61" s="7">
        <f>9.7334+0.3217</f>
        <v>10.0551</v>
      </c>
      <c r="O61" s="8">
        <v>6.6605</v>
      </c>
      <c r="P61" s="7"/>
      <c r="Q61" s="7">
        <v>12.3164</v>
      </c>
      <c r="R61" s="15"/>
      <c r="S61" s="8"/>
    </row>
    <row r="62" spans="1:19" ht="16.5" customHeight="1" hidden="1">
      <c r="A62" s="3"/>
      <c r="B62" s="5" t="s">
        <v>52</v>
      </c>
      <c r="C62" s="7">
        <v>9.735</v>
      </c>
      <c r="D62" s="7">
        <f>9.3141+0.333</f>
        <v>9.6471</v>
      </c>
      <c r="E62" s="7">
        <f>(0.9*9.6745)+0.3118</f>
        <v>9.01885</v>
      </c>
      <c r="F62" s="7"/>
      <c r="G62" s="7"/>
      <c r="H62" s="7"/>
      <c r="I62" s="7">
        <v>9.5235</v>
      </c>
      <c r="J62" s="7">
        <f>9.5839+0.5592</f>
        <v>10.1431</v>
      </c>
      <c r="K62" s="7"/>
      <c r="L62" s="7"/>
      <c r="M62" s="7"/>
      <c r="N62" s="7">
        <f>9.7436+0.5727</f>
        <v>10.3163</v>
      </c>
      <c r="O62" s="8">
        <v>6.7192</v>
      </c>
      <c r="P62" s="7"/>
      <c r="Q62" s="7">
        <v>12.2635</v>
      </c>
      <c r="R62" s="15"/>
      <c r="S62" s="8"/>
    </row>
    <row r="63" spans="1:19" ht="16.5" customHeight="1" hidden="1">
      <c r="A63" s="3"/>
      <c r="B63" s="5" t="s">
        <v>53</v>
      </c>
      <c r="C63" s="7">
        <v>9.735</v>
      </c>
      <c r="D63" s="7">
        <f>9.1873+1.414</f>
        <v>10.6013</v>
      </c>
      <c r="E63" s="7">
        <f>(0.9*9.6745)+1.289</f>
        <v>9.99605</v>
      </c>
      <c r="F63" s="7"/>
      <c r="G63" s="7"/>
      <c r="H63" s="7"/>
      <c r="I63" s="7">
        <v>10.0569</v>
      </c>
      <c r="J63" s="7">
        <f>9.5353+0.6917</f>
        <v>10.227</v>
      </c>
      <c r="K63" s="7"/>
      <c r="L63" s="7"/>
      <c r="M63" s="7"/>
      <c r="N63" s="7">
        <f>9.5816+0.7007</f>
        <v>10.2823</v>
      </c>
      <c r="O63" s="8">
        <v>6.8898</v>
      </c>
      <c r="P63" s="7"/>
      <c r="Q63" s="7">
        <v>12.2899</v>
      </c>
      <c r="R63" s="15"/>
      <c r="S63" s="8"/>
    </row>
    <row r="64" spans="1:19" ht="16.5" customHeight="1" hidden="1">
      <c r="A64" s="3"/>
      <c r="B64" s="4" t="s">
        <v>13</v>
      </c>
      <c r="C64" s="11">
        <f>(C58*1+C60*7+C61*7+C62*7+C63*7)/29</f>
        <v>9.93622068965517</v>
      </c>
      <c r="D64" s="11">
        <f aca="true" t="shared" si="1" ref="D64:Q64">(D58*1+D60*7+D61*7+D62*7+D63*7)/29</f>
        <v>9.808027586206897</v>
      </c>
      <c r="E64" s="11">
        <f t="shared" si="1"/>
        <v>9.252525862068966</v>
      </c>
      <c r="F64" s="11"/>
      <c r="G64" s="11"/>
      <c r="H64" s="11"/>
      <c r="I64" s="11">
        <f t="shared" si="1"/>
        <v>9.48298275862069</v>
      </c>
      <c r="J64" s="11">
        <f t="shared" si="1"/>
        <v>10.025444827586206</v>
      </c>
      <c r="K64" s="11"/>
      <c r="L64" s="11"/>
      <c r="M64" s="11"/>
      <c r="N64" s="11">
        <f t="shared" si="1"/>
        <v>9.989134482758619</v>
      </c>
      <c r="O64" s="38">
        <f t="shared" si="1"/>
        <v>6.772741379310345</v>
      </c>
      <c r="P64" s="11"/>
      <c r="Q64" s="11">
        <f t="shared" si="1"/>
        <v>12.290427586206896</v>
      </c>
      <c r="R64" s="15"/>
      <c r="S64" s="8"/>
    </row>
    <row r="65" spans="1:19" ht="16.5" customHeight="1" hidden="1">
      <c r="A65" s="3"/>
      <c r="B65" s="5" t="s">
        <v>54</v>
      </c>
      <c r="C65" s="7">
        <v>11.5581</v>
      </c>
      <c r="D65" s="7">
        <v>11.1153</v>
      </c>
      <c r="E65" s="7">
        <v>10.4342</v>
      </c>
      <c r="F65" s="7"/>
      <c r="G65" s="7"/>
      <c r="H65" s="7"/>
      <c r="I65" s="7">
        <v>9.3895</v>
      </c>
      <c r="J65" s="7">
        <f>9.5641+0.68</f>
        <v>10.2441</v>
      </c>
      <c r="K65" s="7"/>
      <c r="L65" s="7"/>
      <c r="M65" s="7"/>
      <c r="N65" s="7">
        <f>9.6436+0.6599</f>
        <v>10.3035</v>
      </c>
      <c r="O65" s="8">
        <v>6.6671</v>
      </c>
      <c r="P65" s="7"/>
      <c r="Q65" s="7">
        <v>12.3602</v>
      </c>
      <c r="R65" s="15"/>
      <c r="S65" s="8"/>
    </row>
    <row r="66" spans="1:19" ht="16.5" customHeight="1" hidden="1">
      <c r="A66" s="3"/>
      <c r="B66" s="5" t="s">
        <v>55</v>
      </c>
      <c r="C66" s="7">
        <v>11.519</v>
      </c>
      <c r="D66" s="7">
        <v>11.0765</v>
      </c>
      <c r="E66" s="7">
        <v>10.399</v>
      </c>
      <c r="F66" s="7"/>
      <c r="G66" s="7"/>
      <c r="H66" s="7"/>
      <c r="I66" s="7">
        <v>9.2599</v>
      </c>
      <c r="J66" s="7">
        <f>9.5536+0.7034</f>
        <v>10.257</v>
      </c>
      <c r="K66" s="7"/>
      <c r="L66" s="7"/>
      <c r="M66" s="7"/>
      <c r="N66" s="7">
        <f>9.5916+0.3697</f>
        <v>9.9613</v>
      </c>
      <c r="O66" s="8">
        <v>6.643</v>
      </c>
      <c r="P66" s="7"/>
      <c r="Q66" s="7">
        <v>9.8247</v>
      </c>
      <c r="R66" s="15"/>
      <c r="S66" s="8"/>
    </row>
    <row r="67" spans="1:19" ht="16.5" customHeight="1" hidden="1">
      <c r="A67" s="3"/>
      <c r="B67" s="5" t="s">
        <v>56</v>
      </c>
      <c r="C67" s="7">
        <v>11.3267</v>
      </c>
      <c r="D67" s="7">
        <v>10.8838</v>
      </c>
      <c r="E67" s="7">
        <v>10.2259</v>
      </c>
      <c r="F67" s="7"/>
      <c r="G67" s="7"/>
      <c r="H67" s="7"/>
      <c r="I67" s="7">
        <v>9.5258</v>
      </c>
      <c r="J67" s="7">
        <f>9.5342+0.488</f>
        <v>10.0222</v>
      </c>
      <c r="K67" s="7"/>
      <c r="L67" s="7"/>
      <c r="M67" s="7"/>
      <c r="N67" s="7">
        <f>9.4955+0.4652</f>
        <v>9.9607</v>
      </c>
      <c r="O67" s="8">
        <v>6.5856</v>
      </c>
      <c r="P67" s="7"/>
      <c r="Q67" s="7">
        <v>9.8372</v>
      </c>
      <c r="R67" s="15"/>
      <c r="S67" s="8"/>
    </row>
    <row r="68" spans="1:19" ht="16.5" customHeight="1" hidden="1">
      <c r="A68" s="3"/>
      <c r="B68" s="5" t="s">
        <v>57</v>
      </c>
      <c r="C68" s="7">
        <v>11.3578</v>
      </c>
      <c r="D68" s="7">
        <v>10.914</v>
      </c>
      <c r="E68" s="7">
        <v>10.2539</v>
      </c>
      <c r="F68" s="7"/>
      <c r="G68" s="7"/>
      <c r="H68" s="7"/>
      <c r="I68" s="7">
        <v>9.7117</v>
      </c>
      <c r="J68" s="7">
        <f>9.5373+0.4988</f>
        <v>10.0361</v>
      </c>
      <c r="K68" s="7"/>
      <c r="L68" s="7"/>
      <c r="M68" s="7"/>
      <c r="N68" s="7">
        <f>9.5101+0.4233</f>
        <v>9.933399999999999</v>
      </c>
      <c r="O68" s="8">
        <v>6.6386</v>
      </c>
      <c r="P68" s="7"/>
      <c r="Q68" s="7">
        <v>9.8446</v>
      </c>
      <c r="R68" s="15"/>
      <c r="S68" s="8"/>
    </row>
    <row r="69" spans="1:19" ht="16.5" customHeight="1" hidden="1">
      <c r="A69" s="3"/>
      <c r="B69" s="5" t="s">
        <v>58</v>
      </c>
      <c r="C69" s="7">
        <v>11.4205</v>
      </c>
      <c r="D69" s="7">
        <v>10.9782</v>
      </c>
      <c r="E69" s="7">
        <v>10.3121</v>
      </c>
      <c r="F69" s="7"/>
      <c r="G69" s="7"/>
      <c r="H69" s="7"/>
      <c r="I69" s="7">
        <v>9.5124</v>
      </c>
      <c r="J69" s="7">
        <f>9.4744+0.5849</f>
        <v>10.059299999999999</v>
      </c>
      <c r="K69" s="7"/>
      <c r="L69" s="7"/>
      <c r="M69" s="7"/>
      <c r="N69" s="7">
        <f>9.0059+0.5611</f>
        <v>9.567</v>
      </c>
      <c r="O69" s="8">
        <v>6.803</v>
      </c>
      <c r="P69" s="7"/>
      <c r="Q69" s="7">
        <v>9.8628</v>
      </c>
      <c r="R69" s="15"/>
      <c r="S69" s="8"/>
    </row>
    <row r="70" spans="1:19" ht="16.5" customHeight="1" hidden="1">
      <c r="A70" s="3"/>
      <c r="B70" s="4" t="s">
        <v>13</v>
      </c>
      <c r="C70" s="11">
        <f>(C65*7+C66*7+C67*7+C68*7+C69*3)/31</f>
        <v>11.438474193548386</v>
      </c>
      <c r="D70" s="11">
        <f aca="true" t="shared" si="2" ref="D70:Q70">(D65*7+D66*7+D67*7+D68*7+D69*3)/31</f>
        <v>10.99554193548387</v>
      </c>
      <c r="E70" s="11">
        <f t="shared" si="2"/>
        <v>10.326687096774195</v>
      </c>
      <c r="F70" s="11"/>
      <c r="G70" s="11"/>
      <c r="H70" s="11"/>
      <c r="I70" s="11">
        <f t="shared" si="2"/>
        <v>9.47566129032258</v>
      </c>
      <c r="J70" s="11">
        <f t="shared" si="2"/>
        <v>10.132054838709678</v>
      </c>
      <c r="K70" s="11"/>
      <c r="L70" s="11"/>
      <c r="M70" s="11"/>
      <c r="N70" s="11">
        <f t="shared" si="2"/>
        <v>9.99397741935484</v>
      </c>
      <c r="O70" s="38">
        <f t="shared" si="2"/>
        <v>6.649970967741935</v>
      </c>
      <c r="P70" s="11"/>
      <c r="Q70" s="11">
        <f t="shared" si="2"/>
        <v>10.408235483870966</v>
      </c>
      <c r="R70" s="15"/>
      <c r="S70" s="8"/>
    </row>
    <row r="71" spans="1:19" ht="16.5" customHeight="1" hidden="1">
      <c r="A71" s="3"/>
      <c r="B71" s="5" t="s">
        <v>59</v>
      </c>
      <c r="C71" s="7">
        <v>11.2677</v>
      </c>
      <c r="D71" s="7">
        <v>10.8271</v>
      </c>
      <c r="E71" s="7">
        <v>10.1759</v>
      </c>
      <c r="F71" s="7"/>
      <c r="G71" s="7"/>
      <c r="H71" s="7"/>
      <c r="I71" s="7">
        <v>9.2918</v>
      </c>
      <c r="J71" s="7">
        <f>9.4908+0.3093</f>
        <v>9.8001</v>
      </c>
      <c r="K71" s="7"/>
      <c r="L71" s="7"/>
      <c r="M71" s="7"/>
      <c r="N71" s="7">
        <f>7.2317+0.2973</f>
        <v>7.529</v>
      </c>
      <c r="O71" s="8">
        <v>6.8012</v>
      </c>
      <c r="P71" s="7"/>
      <c r="Q71" s="7">
        <v>10.8825</v>
      </c>
      <c r="R71" s="15"/>
      <c r="S71" s="8"/>
    </row>
    <row r="72" spans="1:19" ht="16.5" customHeight="1" hidden="1">
      <c r="A72" s="3"/>
      <c r="B72" s="5" t="s">
        <v>60</v>
      </c>
      <c r="C72" s="7">
        <v>11.3918</v>
      </c>
      <c r="D72" s="7">
        <v>10.9497</v>
      </c>
      <c r="E72" s="7">
        <v>10.2877</v>
      </c>
      <c r="F72" s="7"/>
      <c r="G72" s="7"/>
      <c r="H72" s="7"/>
      <c r="I72" s="7">
        <v>9.8714</v>
      </c>
      <c r="J72" s="7">
        <f>9.49089+0.6877</f>
        <v>10.17859</v>
      </c>
      <c r="K72" s="7"/>
      <c r="L72" s="7"/>
      <c r="M72" s="7"/>
      <c r="N72" s="7">
        <f>9.0459+0.6757</f>
        <v>9.721599999999999</v>
      </c>
      <c r="O72" s="8">
        <v>6.8843</v>
      </c>
      <c r="P72" s="7"/>
      <c r="Q72" s="7">
        <v>10.8098</v>
      </c>
      <c r="R72" s="15"/>
      <c r="S72" s="8"/>
    </row>
    <row r="73" spans="1:19" ht="16.5" customHeight="1" hidden="1">
      <c r="A73" s="3"/>
      <c r="B73" s="5" t="s">
        <v>61</v>
      </c>
      <c r="C73" s="7">
        <v>11.3939</v>
      </c>
      <c r="D73" s="7">
        <v>10.9491</v>
      </c>
      <c r="E73" s="7">
        <v>10.2898</v>
      </c>
      <c r="F73" s="7"/>
      <c r="G73" s="7"/>
      <c r="H73" s="7"/>
      <c r="I73" s="7">
        <v>10.6153</v>
      </c>
      <c r="J73" s="7">
        <f>9.4908+1.0075</f>
        <v>10.4983</v>
      </c>
      <c r="K73" s="7"/>
      <c r="L73" s="7"/>
      <c r="M73" s="7"/>
      <c r="N73" s="7">
        <f>9.0459+0.9936</f>
        <v>10.0395</v>
      </c>
      <c r="O73" s="8">
        <v>7.0353</v>
      </c>
      <c r="P73" s="7"/>
      <c r="Q73" s="7">
        <v>10.8622</v>
      </c>
      <c r="R73" s="15"/>
      <c r="S73" s="8"/>
    </row>
    <row r="74" spans="1:19" ht="16.5" customHeight="1" hidden="1">
      <c r="A74" s="3"/>
      <c r="B74" s="5" t="s">
        <v>62</v>
      </c>
      <c r="C74" s="7">
        <v>11.963</v>
      </c>
      <c r="D74" s="7">
        <v>11.5153</v>
      </c>
      <c r="E74" s="7">
        <v>10.7914</v>
      </c>
      <c r="F74" s="7"/>
      <c r="G74" s="7"/>
      <c r="H74" s="7"/>
      <c r="I74" s="7">
        <v>10.8688</v>
      </c>
      <c r="J74" s="7">
        <f>9.4908+1.0941</f>
        <v>10.584900000000001</v>
      </c>
      <c r="K74" s="7"/>
      <c r="L74" s="7"/>
      <c r="M74" s="7"/>
      <c r="N74" s="7">
        <f>9.0459+1.0767</f>
        <v>10.1226</v>
      </c>
      <c r="O74" s="8">
        <v>7.1122</v>
      </c>
      <c r="P74" s="7"/>
      <c r="Q74" s="7">
        <v>10.9075</v>
      </c>
      <c r="R74" s="15"/>
      <c r="S74" s="8"/>
    </row>
    <row r="75" spans="1:19" ht="16.5" customHeight="1" hidden="1">
      <c r="A75" s="3"/>
      <c r="B75" s="4" t="s">
        <v>13</v>
      </c>
      <c r="C75" s="11">
        <f>(C69*4+C71*7+C72*7+C73*7+C74*5)/30</f>
        <v>11.462359999999999</v>
      </c>
      <c r="D75" s="11">
        <f aca="true" t="shared" si="3" ref="D75:Q75">(D69*4+D71*7+D72*7+D73*7+D74*5)/30</f>
        <v>11.019020000000001</v>
      </c>
      <c r="E75" s="11">
        <f t="shared" si="3"/>
        <v>10.349306666666667</v>
      </c>
      <c r="F75" s="11"/>
      <c r="G75" s="11"/>
      <c r="H75" s="11"/>
      <c r="I75" s="11">
        <f t="shared" si="3"/>
        <v>10.028103333333332</v>
      </c>
      <c r="J75" s="11">
        <f t="shared" si="3"/>
        <v>10.216687666666667</v>
      </c>
      <c r="K75" s="11"/>
      <c r="L75" s="11"/>
      <c r="M75" s="11"/>
      <c r="N75" s="11">
        <f t="shared" si="3"/>
        <v>9.33039</v>
      </c>
      <c r="O75" s="38">
        <f t="shared" si="3"/>
        <v>6.927286666666666</v>
      </c>
      <c r="P75" s="11"/>
      <c r="Q75" s="11">
        <f t="shared" si="3"/>
        <v>10.729006666666667</v>
      </c>
      <c r="R75" s="15"/>
      <c r="S75" s="8"/>
    </row>
    <row r="76" spans="1:19" ht="16.5" customHeight="1" hidden="1">
      <c r="A76" s="3"/>
      <c r="B76" s="5" t="s">
        <v>63</v>
      </c>
      <c r="C76" s="7">
        <v>12.8593</v>
      </c>
      <c r="D76" s="7">
        <v>12.4113</v>
      </c>
      <c r="E76" s="7">
        <v>11.571</v>
      </c>
      <c r="F76" s="7"/>
      <c r="G76" s="7"/>
      <c r="H76" s="7"/>
      <c r="I76" s="7">
        <v>11.2463</v>
      </c>
      <c r="J76" s="7">
        <f>9.4908+1.8174</f>
        <v>11.3082</v>
      </c>
      <c r="K76" s="7"/>
      <c r="L76" s="7"/>
      <c r="M76" s="7"/>
      <c r="N76" s="7">
        <f>9.0459+1.8208</f>
        <v>10.8667</v>
      </c>
      <c r="O76" s="8">
        <v>7.4235</v>
      </c>
      <c r="P76" s="7"/>
      <c r="Q76" s="7">
        <v>12.0731</v>
      </c>
      <c r="R76" s="15"/>
      <c r="S76" s="8"/>
    </row>
    <row r="77" spans="1:19" ht="16.5" customHeight="1" hidden="1">
      <c r="A77" s="3"/>
      <c r="B77" s="5" t="s">
        <v>64</v>
      </c>
      <c r="C77" s="7">
        <v>12.9956</v>
      </c>
      <c r="D77" s="7">
        <v>12.5402</v>
      </c>
      <c r="E77" s="7">
        <v>11.6937</v>
      </c>
      <c r="F77" s="7"/>
      <c r="G77" s="7"/>
      <c r="H77" s="7"/>
      <c r="I77" s="7">
        <v>11.8619</v>
      </c>
      <c r="J77" s="7">
        <f>9.4908+2.1135</f>
        <v>11.6043</v>
      </c>
      <c r="K77" s="7"/>
      <c r="L77" s="7"/>
      <c r="M77" s="7"/>
      <c r="N77" s="7">
        <f>9.0459+2.1116</f>
        <v>11.157499999999999</v>
      </c>
      <c r="O77" s="8">
        <v>7.6855</v>
      </c>
      <c r="P77" s="7"/>
      <c r="Q77" s="7">
        <v>12.1113</v>
      </c>
      <c r="R77" s="15"/>
      <c r="S77" s="8"/>
    </row>
    <row r="78" spans="1:19" ht="16.5" customHeight="1" hidden="1">
      <c r="A78" s="3"/>
      <c r="B78" s="5" t="s">
        <v>65</v>
      </c>
      <c r="C78" s="7">
        <v>13.5194</v>
      </c>
      <c r="D78" s="7">
        <v>13.0626</v>
      </c>
      <c r="E78" s="7">
        <v>12.165</v>
      </c>
      <c r="F78" s="7"/>
      <c r="G78" s="7"/>
      <c r="H78" s="7"/>
      <c r="I78" s="7">
        <v>12.3828</v>
      </c>
      <c r="J78" s="7">
        <f>9.4908+2.2975</f>
        <v>11.7883</v>
      </c>
      <c r="K78" s="7"/>
      <c r="L78" s="7"/>
      <c r="M78" s="7"/>
      <c r="N78" s="7">
        <f>9.0459+2.2905</f>
        <v>11.3364</v>
      </c>
      <c r="O78" s="8">
        <v>7.9542</v>
      </c>
      <c r="P78" s="7"/>
      <c r="Q78" s="7">
        <v>12.3208</v>
      </c>
      <c r="R78" s="15"/>
      <c r="S78" s="8"/>
    </row>
    <row r="79" spans="1:19" ht="16.5" customHeight="1" hidden="1">
      <c r="A79" s="3"/>
      <c r="B79" s="5" t="s">
        <v>66</v>
      </c>
      <c r="C79" s="7">
        <v>13.3469</v>
      </c>
      <c r="D79" s="7">
        <v>12.8912</v>
      </c>
      <c r="E79" s="7">
        <v>12.0097</v>
      </c>
      <c r="F79" s="7"/>
      <c r="G79" s="7"/>
      <c r="H79" s="7"/>
      <c r="I79" s="7">
        <v>11.3592</v>
      </c>
      <c r="J79" s="7">
        <f>9.4827+2.033</f>
        <v>11.515699999999999</v>
      </c>
      <c r="K79" s="7"/>
      <c r="L79" s="7"/>
      <c r="M79" s="7"/>
      <c r="N79" s="7">
        <f>9.0459+2.0267</f>
        <v>11.0726</v>
      </c>
      <c r="O79" s="8">
        <v>7.8235</v>
      </c>
      <c r="P79" s="7"/>
      <c r="Q79" s="7">
        <v>12.3769</v>
      </c>
      <c r="R79" s="15"/>
      <c r="S79" s="8"/>
    </row>
    <row r="80" spans="1:19" ht="16.5" customHeight="1" hidden="1">
      <c r="A80" s="3"/>
      <c r="B80" s="5" t="s">
        <v>67</v>
      </c>
      <c r="C80" s="7">
        <v>13.2043</v>
      </c>
      <c r="D80" s="7">
        <v>12.7492</v>
      </c>
      <c r="E80" s="7">
        <v>11.8892</v>
      </c>
      <c r="F80" s="7"/>
      <c r="G80" s="7"/>
      <c r="H80" s="7"/>
      <c r="I80" s="7">
        <v>12.3828</v>
      </c>
      <c r="J80" s="7">
        <f>9.4908+1.9907</f>
        <v>11.4815</v>
      </c>
      <c r="K80" s="7"/>
      <c r="L80" s="7"/>
      <c r="M80" s="7"/>
      <c r="N80" s="7">
        <f>9.0459+1.9871</f>
        <v>11.033</v>
      </c>
      <c r="O80" s="8">
        <v>7.9542</v>
      </c>
      <c r="P80" s="7"/>
      <c r="Q80" s="7">
        <v>12.359</v>
      </c>
      <c r="R80" s="15"/>
      <c r="S80" s="8"/>
    </row>
    <row r="81" spans="1:19" ht="16.5" customHeight="1" hidden="1">
      <c r="A81" s="3"/>
      <c r="B81" s="4" t="s">
        <v>13</v>
      </c>
      <c r="C81" s="11">
        <f>(C74*2+C76*7+C77*7+C78*7+C79*7+C80*1)/31</f>
        <v>13.10253870967742</v>
      </c>
      <c r="D81" s="11">
        <f aca="true" t="shared" si="4" ref="D81:Q81">(D74*2+D76*7+D77*7+D78*7+D79*7+D80*1)/31</f>
        <v>12.648932258064516</v>
      </c>
      <c r="E81" s="11">
        <f t="shared" si="4"/>
        <v>11.791864516129031</v>
      </c>
      <c r="F81" s="11"/>
      <c r="G81" s="11"/>
      <c r="H81" s="11"/>
      <c r="I81" s="11">
        <f t="shared" si="4"/>
        <v>11.679735483870965</v>
      </c>
      <c r="J81" s="11">
        <f t="shared" si="4"/>
        <v>11.489251612903224</v>
      </c>
      <c r="K81" s="11"/>
      <c r="L81" s="11"/>
      <c r="M81" s="11"/>
      <c r="N81" s="11">
        <f t="shared" si="4"/>
        <v>11.04227741935484</v>
      </c>
      <c r="O81" s="38">
        <f t="shared" si="4"/>
        <v>7.689854838709679</v>
      </c>
      <c r="P81" s="11"/>
      <c r="Q81" s="11">
        <f t="shared" si="4"/>
        <v>12.140280645161289</v>
      </c>
      <c r="R81" s="15"/>
      <c r="S81" s="8"/>
    </row>
    <row r="82" spans="1:19" ht="16.5" customHeight="1" hidden="1">
      <c r="A82" s="3"/>
      <c r="B82" s="5" t="s">
        <v>68</v>
      </c>
      <c r="C82" s="7">
        <v>12.1494</v>
      </c>
      <c r="D82" s="7">
        <v>11.6943</v>
      </c>
      <c r="E82" s="7">
        <v>10.9413</v>
      </c>
      <c r="F82" s="7"/>
      <c r="G82" s="7"/>
      <c r="H82" s="7"/>
      <c r="I82" s="7">
        <v>11.1047</v>
      </c>
      <c r="J82" s="7">
        <f>9.4827+1.739</f>
        <v>11.2217</v>
      </c>
      <c r="K82" s="7"/>
      <c r="L82" s="7"/>
      <c r="M82" s="7"/>
      <c r="N82" s="7">
        <f>9.0059+1.7494</f>
        <v>10.7553</v>
      </c>
      <c r="O82" s="8">
        <v>7.5055</v>
      </c>
      <c r="P82" s="7"/>
      <c r="Q82" s="7">
        <v>12.8266</v>
      </c>
      <c r="R82" s="15"/>
      <c r="S82" s="8"/>
    </row>
    <row r="83" spans="1:19" ht="16.5" customHeight="1" hidden="1">
      <c r="A83" s="3"/>
      <c r="B83" s="5" t="s">
        <v>69</v>
      </c>
      <c r="C83" s="7">
        <v>11.9785</v>
      </c>
      <c r="D83" s="7">
        <v>11.5206</v>
      </c>
      <c r="E83" s="7">
        <v>10.7876</v>
      </c>
      <c r="F83" s="7"/>
      <c r="G83" s="7"/>
      <c r="H83" s="7"/>
      <c r="I83" s="7">
        <v>11.1327</v>
      </c>
      <c r="J83" s="7">
        <f>9.3632+1.7608</f>
        <v>11.124</v>
      </c>
      <c r="K83" s="7"/>
      <c r="L83" s="7"/>
      <c r="M83" s="7"/>
      <c r="N83" s="7">
        <f>9.0059+1.7683</f>
        <v>10.7742</v>
      </c>
      <c r="O83" s="8">
        <v>7.4484</v>
      </c>
      <c r="P83" s="7"/>
      <c r="Q83" s="7">
        <v>12.8206</v>
      </c>
      <c r="R83" s="15"/>
      <c r="S83" s="8"/>
    </row>
    <row r="84" spans="1:19" ht="16.5" customHeight="1" hidden="1">
      <c r="A84" s="3"/>
      <c r="B84" s="5" t="s">
        <v>70</v>
      </c>
      <c r="C84" s="7">
        <v>11.829</v>
      </c>
      <c r="D84" s="7">
        <v>11.3711</v>
      </c>
      <c r="E84" s="7">
        <v>10.6531</v>
      </c>
      <c r="F84" s="7"/>
      <c r="G84" s="7"/>
      <c r="H84" s="7"/>
      <c r="I84" s="7">
        <v>11.1935</v>
      </c>
      <c r="J84" s="7">
        <f>9.4827+1.8908</f>
        <v>11.3735</v>
      </c>
      <c r="K84" s="7"/>
      <c r="L84" s="7"/>
      <c r="M84" s="7"/>
      <c r="N84" s="7">
        <f>9.0059+1.8976</f>
        <v>10.903500000000001</v>
      </c>
      <c r="O84" s="8">
        <v>7.5926</v>
      </c>
      <c r="P84" s="7"/>
      <c r="Q84" s="7">
        <v>12.9179</v>
      </c>
      <c r="R84" s="15"/>
      <c r="S84" s="8"/>
    </row>
    <row r="85" spans="1:19" ht="16.5" customHeight="1" hidden="1">
      <c r="A85" s="3"/>
      <c r="B85" s="5" t="s">
        <v>71</v>
      </c>
      <c r="C85" s="7">
        <v>11.3533</v>
      </c>
      <c r="D85" s="7">
        <v>10.8946</v>
      </c>
      <c r="E85" s="7">
        <v>10.2172</v>
      </c>
      <c r="F85" s="7"/>
      <c r="G85" s="7"/>
      <c r="H85" s="7"/>
      <c r="I85" s="7">
        <v>11.1808</v>
      </c>
      <c r="J85" s="7">
        <f>9.4827+1.6062</f>
        <v>11.088899999999999</v>
      </c>
      <c r="K85" s="7"/>
      <c r="L85" s="7"/>
      <c r="M85" s="7"/>
      <c r="N85" s="7">
        <f>9.0059+1.6128</f>
        <v>10.6187</v>
      </c>
      <c r="O85" s="8">
        <v>7.5128</v>
      </c>
      <c r="P85" s="7"/>
      <c r="Q85" s="7">
        <v>12.9209</v>
      </c>
      <c r="R85" s="15"/>
      <c r="S85" s="8"/>
    </row>
    <row r="86" spans="1:19" ht="16.5" customHeight="1" hidden="1">
      <c r="A86" s="3"/>
      <c r="B86" s="4" t="s">
        <v>13</v>
      </c>
      <c r="C86" s="11">
        <f>(C80*6+C82*7+C83*7+C84*7+C85*4)/30</f>
        <v>12.544576666666666</v>
      </c>
      <c r="D86" s="11">
        <f aca="true" t="shared" si="5" ref="D86:Q86">(D80*6+D82*7+D83*7+D84*7+D85*4)/30</f>
        <v>12.07252</v>
      </c>
      <c r="E86" s="11">
        <f t="shared" si="5"/>
        <v>11.295933333333334</v>
      </c>
      <c r="F86" s="11"/>
      <c r="G86" s="11"/>
      <c r="H86" s="11"/>
      <c r="I86" s="11">
        <f t="shared" si="5"/>
        <v>11.767876666666666</v>
      </c>
      <c r="J86" s="11">
        <f t="shared" si="5"/>
        <v>11.642633333333333</v>
      </c>
      <c r="K86" s="11"/>
      <c r="L86" s="11"/>
      <c r="M86" s="11"/>
      <c r="N86" s="11">
        <f t="shared" si="5"/>
        <v>11.190126666666666</v>
      </c>
      <c r="O86" s="38">
        <f t="shared" si="5"/>
        <v>7.853396666666667</v>
      </c>
      <c r="P86" s="11"/>
      <c r="Q86" s="11">
        <f t="shared" si="5"/>
        <v>13.193109999999999</v>
      </c>
      <c r="R86" s="15"/>
      <c r="S86" s="8"/>
    </row>
    <row r="87" spans="1:19" ht="16.5" customHeight="1" hidden="1">
      <c r="A87" s="3"/>
      <c r="B87" s="5" t="s">
        <v>72</v>
      </c>
      <c r="C87" s="7">
        <v>12.3773</v>
      </c>
      <c r="D87" s="7">
        <v>11.9183</v>
      </c>
      <c r="E87" s="7">
        <v>11.1328</v>
      </c>
      <c r="F87" s="7"/>
      <c r="G87" s="7"/>
      <c r="H87" s="7"/>
      <c r="I87" s="7">
        <v>11.8346</v>
      </c>
      <c r="J87" s="7">
        <f>9.627+2.2645</f>
        <v>11.8915</v>
      </c>
      <c r="K87" s="7"/>
      <c r="L87" s="7"/>
      <c r="M87" s="7"/>
      <c r="N87" s="7">
        <f>9.0059+2.2661</f>
        <v>11.272</v>
      </c>
      <c r="O87" s="8">
        <v>7.6167</v>
      </c>
      <c r="P87" s="7"/>
      <c r="Q87" s="7">
        <v>12.5804</v>
      </c>
      <c r="R87" s="15"/>
      <c r="S87" s="8"/>
    </row>
    <row r="88" spans="1:19" ht="16.5" customHeight="1" hidden="1">
      <c r="A88" s="3"/>
      <c r="B88" s="5" t="s">
        <v>73</v>
      </c>
      <c r="C88" s="7">
        <v>12.479</v>
      </c>
      <c r="D88" s="7">
        <v>12.0198</v>
      </c>
      <c r="E88" s="7">
        <v>11.2243</v>
      </c>
      <c r="F88" s="7"/>
      <c r="G88" s="7"/>
      <c r="H88" s="7"/>
      <c r="I88" s="7">
        <v>12.2388</v>
      </c>
      <c r="J88" s="7">
        <f>9.4824+2.5334</f>
        <v>12.0158</v>
      </c>
      <c r="K88" s="7"/>
      <c r="L88" s="7"/>
      <c r="M88" s="7"/>
      <c r="N88" s="7">
        <f>9.0059+2.5355</f>
        <v>11.5414</v>
      </c>
      <c r="O88" s="8">
        <v>7.4831</v>
      </c>
      <c r="P88" s="7"/>
      <c r="Q88" s="7">
        <v>12.5489</v>
      </c>
      <c r="R88" s="15"/>
      <c r="S88" s="8"/>
    </row>
    <row r="89" spans="1:19" ht="16.5" customHeight="1" hidden="1">
      <c r="A89" s="3"/>
      <c r="B89" s="5" t="s">
        <v>74</v>
      </c>
      <c r="C89" s="7">
        <v>12.6317</v>
      </c>
      <c r="D89" s="7">
        <v>12.1707</v>
      </c>
      <c r="E89" s="7">
        <v>11.3617</v>
      </c>
      <c r="F89" s="7"/>
      <c r="G89" s="7"/>
      <c r="H89" s="7"/>
      <c r="I89" s="7">
        <v>12.3414</v>
      </c>
      <c r="J89" s="7">
        <f>9.4824+2.8949</f>
        <v>12.3773</v>
      </c>
      <c r="K89" s="7"/>
      <c r="L89" s="7"/>
      <c r="M89" s="7"/>
      <c r="N89" s="7">
        <f>9.0059+2.8963</f>
        <v>11.9022</v>
      </c>
      <c r="O89" s="8">
        <v>7.6351</v>
      </c>
      <c r="P89" s="7"/>
      <c r="Q89" s="7">
        <v>12.546</v>
      </c>
      <c r="R89" s="15"/>
      <c r="S89" s="8"/>
    </row>
    <row r="90" spans="1:19" ht="16.5" customHeight="1" hidden="1">
      <c r="A90" s="3"/>
      <c r="B90" s="5" t="s">
        <v>75</v>
      </c>
      <c r="C90" s="7">
        <v>13.1821</v>
      </c>
      <c r="D90" s="7">
        <v>12.7171</v>
      </c>
      <c r="E90" s="7">
        <v>11.8803</v>
      </c>
      <c r="F90" s="7"/>
      <c r="G90" s="7"/>
      <c r="H90" s="7"/>
      <c r="I90" s="7">
        <v>12.6374</v>
      </c>
      <c r="J90" s="7">
        <f>9.4824+3.5815</f>
        <v>13.0639</v>
      </c>
      <c r="K90" s="7"/>
      <c r="L90" s="7"/>
      <c r="M90" s="7"/>
      <c r="N90" s="7">
        <f>9.0059+3.5794</f>
        <v>12.5853</v>
      </c>
      <c r="O90" s="8">
        <v>7.7177</v>
      </c>
      <c r="P90" s="7"/>
      <c r="Q90" s="7">
        <v>12.5839</v>
      </c>
      <c r="R90" s="15"/>
      <c r="S90" s="8"/>
    </row>
    <row r="91" spans="1:19" ht="16.5" customHeight="1" hidden="1">
      <c r="A91" s="3"/>
      <c r="B91" s="4" t="s">
        <v>13</v>
      </c>
      <c r="C91" s="11">
        <f>(C85*4+C87*7+C88*7+C89*7+C90*6)/31</f>
        <v>12.481348387096775</v>
      </c>
      <c r="D91" s="11">
        <f aca="true" t="shared" si="6" ref="D91:Q91">(D85*4+D87*7+D88*7+D89*7+D90*6)/31</f>
        <v>12.020729032258066</v>
      </c>
      <c r="E91" s="11">
        <f t="shared" si="6"/>
        <v>11.231683870967741</v>
      </c>
      <c r="F91" s="11"/>
      <c r="G91" s="11"/>
      <c r="H91" s="11"/>
      <c r="I91" s="11">
        <f t="shared" si="6"/>
        <v>12.111329032258064</v>
      </c>
      <c r="J91" s="11">
        <f t="shared" si="6"/>
        <v>12.15261935483871</v>
      </c>
      <c r="K91" s="11"/>
      <c r="L91" s="11"/>
      <c r="M91" s="11"/>
      <c r="N91" s="11">
        <f t="shared" si="6"/>
        <v>11.645025806451613</v>
      </c>
      <c r="O91" s="38">
        <f t="shared" si="6"/>
        <v>7.596829032258063</v>
      </c>
      <c r="P91" s="11"/>
      <c r="Q91" s="11">
        <f t="shared" si="6"/>
        <v>12.610132258064517</v>
      </c>
      <c r="R91" s="15"/>
      <c r="S91" s="8"/>
    </row>
    <row r="92" spans="1:19" ht="16.5" customHeight="1" hidden="1">
      <c r="A92" s="3"/>
      <c r="B92" s="5" t="s">
        <v>76</v>
      </c>
      <c r="C92" s="7">
        <v>13.7294</v>
      </c>
      <c r="D92" s="7">
        <v>13.2656</v>
      </c>
      <c r="E92" s="7">
        <v>12.5145</v>
      </c>
      <c r="F92" s="7"/>
      <c r="G92" s="7"/>
      <c r="H92" s="7"/>
      <c r="I92" s="7">
        <v>12.9341</v>
      </c>
      <c r="J92" s="7">
        <f>9.51+3.8528</f>
        <v>13.3628</v>
      </c>
      <c r="K92" s="7"/>
      <c r="L92" s="7"/>
      <c r="M92" s="7"/>
      <c r="N92" s="7">
        <f>9.0132+3.838</f>
        <v>12.851199999999999</v>
      </c>
      <c r="O92" s="8">
        <v>7.9481</v>
      </c>
      <c r="P92" s="7"/>
      <c r="Q92" s="7">
        <v>13.0413</v>
      </c>
      <c r="R92" s="15"/>
      <c r="S92" s="8"/>
    </row>
    <row r="93" spans="1:19" ht="16.5" customHeight="1" hidden="1">
      <c r="A93" s="3"/>
      <c r="B93" s="5" t="s">
        <v>77</v>
      </c>
      <c r="C93" s="7">
        <v>13.976</v>
      </c>
      <c r="D93" s="7">
        <v>13.5112</v>
      </c>
      <c r="E93" s="7">
        <v>12.7389</v>
      </c>
      <c r="F93" s="7"/>
      <c r="G93" s="7"/>
      <c r="H93" s="7"/>
      <c r="I93" s="7">
        <v>13.1556</v>
      </c>
      <c r="J93" s="7">
        <f>9.51+4.1513</f>
        <v>13.6613</v>
      </c>
      <c r="K93" s="7"/>
      <c r="L93" s="7"/>
      <c r="M93" s="7"/>
      <c r="N93" s="7">
        <f>9.0132+4.1362</f>
        <v>13.1494</v>
      </c>
      <c r="O93" s="8">
        <v>8.0309</v>
      </c>
      <c r="P93" s="7"/>
      <c r="Q93" s="7">
        <v>13.0413</v>
      </c>
      <c r="R93" s="15"/>
      <c r="S93" s="8"/>
    </row>
    <row r="94" spans="1:19" ht="16.5" customHeight="1" hidden="1">
      <c r="A94" s="3"/>
      <c r="B94" s="5" t="s">
        <v>78</v>
      </c>
      <c r="C94" s="7">
        <v>14.4242</v>
      </c>
      <c r="D94" s="7">
        <v>13.9595</v>
      </c>
      <c r="E94" s="7">
        <v>13.1467</v>
      </c>
      <c r="F94" s="7"/>
      <c r="G94" s="7"/>
      <c r="H94" s="7"/>
      <c r="I94" s="7">
        <v>13.0176</v>
      </c>
      <c r="J94" s="7">
        <f>9.51+4.3519</f>
        <v>13.861899999999999</v>
      </c>
      <c r="K94" s="7"/>
      <c r="L94" s="7"/>
      <c r="M94" s="7"/>
      <c r="N94" s="7">
        <f>9.0132+4.3351</f>
        <v>13.348299999999998</v>
      </c>
      <c r="O94" s="8">
        <v>8.1102</v>
      </c>
      <c r="P94" s="7"/>
      <c r="Q94" s="7">
        <v>13.0754</v>
      </c>
      <c r="R94" s="15"/>
      <c r="S94" s="8"/>
    </row>
    <row r="95" spans="1:19" ht="16.5" customHeight="1" hidden="1">
      <c r="A95" s="3"/>
      <c r="B95" s="5" t="s">
        <v>79</v>
      </c>
      <c r="C95" s="7">
        <v>13.8032</v>
      </c>
      <c r="D95" s="7">
        <v>13.3375</v>
      </c>
      <c r="E95" s="7">
        <v>12.5817</v>
      </c>
      <c r="F95" s="7"/>
      <c r="G95" s="7"/>
      <c r="H95" s="7"/>
      <c r="I95" s="7">
        <v>14.3746</v>
      </c>
      <c r="J95" s="7">
        <f>9.51+4.9242</f>
        <v>14.4342</v>
      </c>
      <c r="K95" s="7"/>
      <c r="L95" s="7"/>
      <c r="M95" s="7"/>
      <c r="N95" s="7">
        <f>9.0132+4.9092</f>
        <v>13.9224</v>
      </c>
      <c r="O95" s="8">
        <v>8.0917</v>
      </c>
      <c r="P95" s="7"/>
      <c r="Q95" s="7">
        <v>13.1001</v>
      </c>
      <c r="R95" s="15"/>
      <c r="S95" s="8"/>
    </row>
    <row r="96" spans="1:19" ht="16.5" customHeight="1" hidden="1">
      <c r="A96" s="3"/>
      <c r="B96" s="5" t="s">
        <v>80</v>
      </c>
      <c r="C96" s="7">
        <v>13.2026</v>
      </c>
      <c r="D96" s="7">
        <v>12.7367</v>
      </c>
      <c r="E96" s="7">
        <v>12.027</v>
      </c>
      <c r="F96" s="7"/>
      <c r="G96" s="7"/>
      <c r="H96" s="7"/>
      <c r="I96" s="7">
        <v>13.3645</v>
      </c>
      <c r="J96" s="7">
        <f>9.51+4.0401</f>
        <v>13.5501</v>
      </c>
      <c r="K96" s="7"/>
      <c r="L96" s="7"/>
      <c r="M96" s="7"/>
      <c r="N96" s="7">
        <f>9.0132+4.0215</f>
        <v>13.034699999999999</v>
      </c>
      <c r="O96" s="8">
        <v>7.7725</v>
      </c>
      <c r="P96" s="7"/>
      <c r="Q96" s="7">
        <v>13.1176</v>
      </c>
      <c r="R96" s="15"/>
      <c r="S96" s="8"/>
    </row>
    <row r="97" spans="1:19" ht="16.5" customHeight="1" hidden="1">
      <c r="A97" s="3"/>
      <c r="B97" s="4" t="s">
        <v>13</v>
      </c>
      <c r="C97" s="11">
        <f>(C90*1+C92*7+C93*7+C94*7+C95*7+C96*2)/31</f>
        <v>13.90699677419355</v>
      </c>
      <c r="D97" s="11">
        <f>(D90*1+D92*7+D93*7+D94*7+D95*7+D96*2)/31</f>
        <v>13.442164516129033</v>
      </c>
      <c r="E97" s="11">
        <f>(E90*1+E92*7+E93*7+E94*7+E95*7+E96*2)/31</f>
        <v>12.671190322580642</v>
      </c>
      <c r="F97" s="11"/>
      <c r="G97" s="11"/>
      <c r="H97" s="11"/>
      <c r="I97" s="11">
        <f>(I90*1+I92*7+I93*7+I94*7+I95*7+I96*2)/31</f>
        <v>13.346441935483872</v>
      </c>
      <c r="J97" s="11">
        <f>(J90*1+J92*7+J93*7+J94*7+J95*7+J96*2)/31</f>
        <v>13.787274193548386</v>
      </c>
      <c r="K97" s="11"/>
      <c r="L97" s="11"/>
      <c r="M97" s="11"/>
      <c r="N97" s="11">
        <f>(N90*1+N92*7+N93*7+N94*7+N95*7+N96*2)/31</f>
        <v>13.275929032258064</v>
      </c>
      <c r="O97" s="38">
        <f>(O90*1+O92*7+O93*7+O94*7+O95*7+O96*2)/31</f>
        <v>8.017064516129032</v>
      </c>
      <c r="P97" s="11"/>
      <c r="Q97" s="11">
        <f>(Q90*1+Q92*7+Q93*7+Q94*7+Q95*7+Q96*2)/31</f>
        <v>13.052445161290322</v>
      </c>
      <c r="R97" s="15"/>
      <c r="S97" s="8"/>
    </row>
    <row r="98" spans="1:19" ht="16.5" customHeight="1" hidden="1">
      <c r="A98" s="3"/>
      <c r="B98" s="5" t="s">
        <v>81</v>
      </c>
      <c r="C98" s="7">
        <v>13.0938</v>
      </c>
      <c r="D98" s="7">
        <v>12.6279</v>
      </c>
      <c r="E98" s="7"/>
      <c r="F98" s="7"/>
      <c r="G98" s="7"/>
      <c r="H98" s="7"/>
      <c r="I98" s="7">
        <f>13.7376</f>
        <v>13.7376</v>
      </c>
      <c r="J98" s="7">
        <f>9.5147+4.4233</f>
        <v>13.937999999999999</v>
      </c>
      <c r="K98" s="7"/>
      <c r="L98" s="7"/>
      <c r="M98" s="7"/>
      <c r="N98" s="7">
        <f>9.2893+4.4107</f>
        <v>13.700000000000001</v>
      </c>
      <c r="O98" s="8">
        <v>7.7624</v>
      </c>
      <c r="P98" s="7"/>
      <c r="Q98" s="7">
        <v>13.1373</v>
      </c>
      <c r="R98" s="15"/>
      <c r="S98" s="8"/>
    </row>
    <row r="99" spans="1:19" ht="16.5" customHeight="1" hidden="1">
      <c r="A99" s="3"/>
      <c r="B99" s="5" t="s">
        <v>82</v>
      </c>
      <c r="C99" s="7">
        <v>12.9565</v>
      </c>
      <c r="D99" s="7">
        <v>12.4937</v>
      </c>
      <c r="E99" s="7"/>
      <c r="F99" s="7"/>
      <c r="G99" s="7"/>
      <c r="H99" s="7"/>
      <c r="I99" s="7">
        <v>14.2622</v>
      </c>
      <c r="J99" s="7">
        <f>9.5147+4.9862</f>
        <v>14.5009</v>
      </c>
      <c r="K99" s="7"/>
      <c r="L99" s="7"/>
      <c r="M99" s="7"/>
      <c r="N99" s="7">
        <f>9.2893+4.9749</f>
        <v>14.2642</v>
      </c>
      <c r="O99" s="8">
        <v>7.7154</v>
      </c>
      <c r="P99" s="7"/>
      <c r="Q99" s="7">
        <v>13.141</v>
      </c>
      <c r="R99" s="15"/>
      <c r="S99" s="8"/>
    </row>
    <row r="100" spans="1:19" ht="16.5" customHeight="1" hidden="1">
      <c r="A100" s="3"/>
      <c r="B100" s="5" t="s">
        <v>83</v>
      </c>
      <c r="C100" s="7">
        <v>13.5191</v>
      </c>
      <c r="D100" s="7">
        <v>13.0556</v>
      </c>
      <c r="E100" s="7"/>
      <c r="F100" s="7"/>
      <c r="G100" s="7"/>
      <c r="H100" s="7"/>
      <c r="I100" s="7">
        <v>14.3019</v>
      </c>
      <c r="J100" s="7">
        <f>9.5147+4.9221</f>
        <v>14.4368</v>
      </c>
      <c r="K100" s="7"/>
      <c r="L100" s="7"/>
      <c r="M100" s="7"/>
      <c r="N100" s="7">
        <f>9.2893+4.9141</f>
        <v>14.203400000000002</v>
      </c>
      <c r="O100" s="8">
        <v>7.6726</v>
      </c>
      <c r="P100" s="7"/>
      <c r="Q100" s="7">
        <v>13.0551</v>
      </c>
      <c r="R100" s="15"/>
      <c r="S100" s="8"/>
    </row>
    <row r="101" spans="1:19" ht="16.5" customHeight="1" hidden="1">
      <c r="A101" s="3"/>
      <c r="B101" s="5" t="s">
        <v>84</v>
      </c>
      <c r="C101" s="7">
        <v>14.0483</v>
      </c>
      <c r="D101" s="7">
        <v>13.5825</v>
      </c>
      <c r="E101" s="7"/>
      <c r="F101" s="7"/>
      <c r="G101" s="7"/>
      <c r="H101" s="7"/>
      <c r="I101" s="7">
        <v>15.3951</v>
      </c>
      <c r="J101" s="7">
        <f>9.5147+5.6712</f>
        <v>15.1859</v>
      </c>
      <c r="K101" s="7"/>
      <c r="L101" s="7"/>
      <c r="M101" s="7"/>
      <c r="N101" s="7">
        <f>9.2893+5.6615</f>
        <v>14.950800000000001</v>
      </c>
      <c r="O101" s="8">
        <v>7.8786</v>
      </c>
      <c r="P101" s="7"/>
      <c r="Q101" s="7">
        <v>13.0564</v>
      </c>
      <c r="R101" s="15"/>
      <c r="S101" s="8"/>
    </row>
    <row r="102" spans="1:19" ht="16.5" customHeight="1" hidden="1">
      <c r="A102" s="3"/>
      <c r="B102" s="4" t="s">
        <v>13</v>
      </c>
      <c r="C102" s="11">
        <f>(C96*5+C98*7+C99*7+C100*7+C101*4)/30</f>
        <v>13.306399999999998</v>
      </c>
      <c r="D102" s="11">
        <f>(D96*5+D98*7+D99*7+D100*7+D101*4)/30</f>
        <v>12.841796666666665</v>
      </c>
      <c r="E102" s="11"/>
      <c r="F102" s="11"/>
      <c r="G102" s="11"/>
      <c r="H102" s="11"/>
      <c r="I102" s="11">
        <f>(I96*5+I98*7+I99*7+I100*7+I101*4)/30</f>
        <v>14.150493333333333</v>
      </c>
      <c r="J102" s="11">
        <f>(J96*5+J98*7+J99*7+J100*7+J101*4)/30</f>
        <v>14.287466666666665</v>
      </c>
      <c r="K102" s="11"/>
      <c r="L102" s="11"/>
      <c r="M102" s="11"/>
      <c r="N102" s="11">
        <f>(N96*5+N98*7+N99*7+N100*7+N101*4)/30</f>
        <v>14.004996666666669</v>
      </c>
      <c r="O102" s="38">
        <f>(O96*5+O98*7+O99*7+O100*7+O101*4)/30</f>
        <v>7.747656666666667</v>
      </c>
      <c r="P102" s="11"/>
      <c r="Q102" s="11">
        <f>(Q96*5+Q98*7+Q99*7+Q100*7+Q101*4)/30</f>
        <v>13.104913333333334</v>
      </c>
      <c r="R102" s="15"/>
      <c r="S102" s="8"/>
    </row>
    <row r="103" spans="1:19" ht="16.5" customHeight="1" hidden="1">
      <c r="A103" s="3"/>
      <c r="B103" s="5" t="s">
        <v>85</v>
      </c>
      <c r="C103" s="7">
        <v>14.6395</v>
      </c>
      <c r="D103" s="7">
        <v>14.1732</v>
      </c>
      <c r="E103" s="7"/>
      <c r="F103" s="7"/>
      <c r="G103" s="7"/>
      <c r="H103" s="7"/>
      <c r="I103" s="7">
        <v>15.1646</v>
      </c>
      <c r="J103" s="7">
        <f>9.7248+5.253</f>
        <v>14.9778</v>
      </c>
      <c r="K103" s="7"/>
      <c r="L103" s="7"/>
      <c r="M103" s="7"/>
      <c r="N103" s="7">
        <f>9.2893+5.3606</f>
        <v>14.6499</v>
      </c>
      <c r="O103" s="8">
        <v>9.6912</v>
      </c>
      <c r="P103" s="7"/>
      <c r="Q103" s="7">
        <v>13.1048</v>
      </c>
      <c r="R103" s="15"/>
      <c r="S103" s="8"/>
    </row>
    <row r="104" spans="1:19" ht="16.5" customHeight="1" hidden="1">
      <c r="A104" s="3"/>
      <c r="B104" s="5" t="s">
        <v>86</v>
      </c>
      <c r="C104" s="7">
        <v>15.0171</v>
      </c>
      <c r="D104" s="7">
        <v>14.5507</v>
      </c>
      <c r="E104" s="7"/>
      <c r="F104" s="7"/>
      <c r="G104" s="7"/>
      <c r="H104" s="7"/>
      <c r="I104" s="7">
        <v>15.5078</v>
      </c>
      <c r="J104" s="7">
        <f>9.5147+5.778</f>
        <v>15.2927</v>
      </c>
      <c r="K104" s="7"/>
      <c r="L104" s="7"/>
      <c r="M104" s="7"/>
      <c r="N104" s="7">
        <f>9.2893+5.8872</f>
        <v>15.1765</v>
      </c>
      <c r="O104" s="8">
        <v>8.0985</v>
      </c>
      <c r="P104" s="7"/>
      <c r="Q104" s="7">
        <v>13.072</v>
      </c>
      <c r="R104" s="15"/>
      <c r="S104" s="8"/>
    </row>
    <row r="105" spans="1:19" ht="16.5" customHeight="1" hidden="1">
      <c r="A105" s="3"/>
      <c r="B105" s="5" t="s">
        <v>87</v>
      </c>
      <c r="C105" s="7">
        <v>14.7272</v>
      </c>
      <c r="D105" s="7">
        <v>14.2615</v>
      </c>
      <c r="E105" s="7"/>
      <c r="F105" s="7"/>
      <c r="G105" s="7"/>
      <c r="H105" s="7"/>
      <c r="I105" s="7">
        <v>16.281</v>
      </c>
      <c r="J105" s="7">
        <f>9.5147+6.1911</f>
        <v>15.7058</v>
      </c>
      <c r="K105" s="7"/>
      <c r="L105" s="7"/>
      <c r="M105" s="7"/>
      <c r="N105" s="7">
        <f>9.2893+6.2989</f>
        <v>15.5882</v>
      </c>
      <c r="O105" s="8">
        <v>8.5461</v>
      </c>
      <c r="P105" s="7"/>
      <c r="Q105" s="7">
        <v>13.0618</v>
      </c>
      <c r="R105" s="15"/>
      <c r="S105" s="8"/>
    </row>
    <row r="106" spans="1:19" ht="16.5" customHeight="1" hidden="1">
      <c r="A106" s="3"/>
      <c r="B106" s="5" t="s">
        <v>88</v>
      </c>
      <c r="C106" s="7">
        <v>14.8059</v>
      </c>
      <c r="D106" s="7">
        <v>13.9851</v>
      </c>
      <c r="E106" s="7"/>
      <c r="F106" s="7"/>
      <c r="G106" s="7"/>
      <c r="H106" s="7"/>
      <c r="I106" s="7">
        <v>16.3264</v>
      </c>
      <c r="J106" s="7">
        <f>9.5147+6.4581</f>
        <v>15.9728</v>
      </c>
      <c r="K106" s="7"/>
      <c r="L106" s="7"/>
      <c r="M106" s="7"/>
      <c r="N106" s="7">
        <f>9.2893+6.5701</f>
        <v>15.8594</v>
      </c>
      <c r="O106" s="8">
        <v>8.9817</v>
      </c>
      <c r="P106" s="7"/>
      <c r="Q106" s="7">
        <v>13.0634</v>
      </c>
      <c r="R106" s="15"/>
      <c r="S106" s="8"/>
    </row>
    <row r="107" spans="1:19" ht="16.5" customHeight="1" hidden="1">
      <c r="A107" s="3"/>
      <c r="B107" s="4" t="s">
        <v>13</v>
      </c>
      <c r="C107" s="11">
        <f>(C101*3+C103*7+C104*7+C105*7+C106*7)/31</f>
        <v>14.724929032258064</v>
      </c>
      <c r="D107" s="11">
        <f>(D101*3+D103*7+D104*7+D105*7+D106*7)/31</f>
        <v>14.17874193548387</v>
      </c>
      <c r="E107" s="11"/>
      <c r="F107" s="11"/>
      <c r="G107" s="11"/>
      <c r="H107" s="11"/>
      <c r="I107" s="11">
        <f>(I101*3+I103*7+I104*7+I105*7+I106*7)/31</f>
        <v>15.778835483870965</v>
      </c>
      <c r="J107" s="11">
        <f>(J101*3+J103*7+J104*7+J105*7+J106*7)/31</f>
        <v>15.458109677419355</v>
      </c>
      <c r="K107" s="11"/>
      <c r="L107" s="11"/>
      <c r="M107" s="11"/>
      <c r="N107" s="11">
        <f>(N101*3+N103*7+N104*7+N105*7+N106*7)/31</f>
        <v>15.282916129032257</v>
      </c>
      <c r="O107" s="38">
        <f>(O101*3+O103*7+O104*7+O105*7+O106*7)/31</f>
        <v>8.737364516129032</v>
      </c>
      <c r="P107" s="11"/>
      <c r="Q107" s="11">
        <f>(Q101*3+Q103*7+Q104*7+Q105*7+Q106*7)/31</f>
        <v>13.073651612903227</v>
      </c>
      <c r="R107" s="15"/>
      <c r="S107" s="8"/>
    </row>
    <row r="108" spans="1:19" ht="16.5" customHeight="1" hidden="1">
      <c r="A108" s="3"/>
      <c r="B108" s="5" t="s">
        <v>89</v>
      </c>
      <c r="C108" s="7">
        <f>14.6002+0.4155</f>
        <v>15.015699999999999</v>
      </c>
      <c r="D108" s="7">
        <f>13.806+0.3306</f>
        <v>14.1366</v>
      </c>
      <c r="E108" s="7"/>
      <c r="F108" s="7"/>
      <c r="G108" s="7"/>
      <c r="H108" s="7"/>
      <c r="I108" s="7">
        <v>15.4261</v>
      </c>
      <c r="J108" s="7">
        <f>9.5147+5.4034</f>
        <v>14.918099999999999</v>
      </c>
      <c r="K108" s="7"/>
      <c r="L108" s="7"/>
      <c r="M108" s="7"/>
      <c r="N108" s="7">
        <v>9.2893</v>
      </c>
      <c r="O108" s="8">
        <v>8.6088</v>
      </c>
      <c r="P108" s="7"/>
      <c r="Q108" s="7">
        <v>12.9613</v>
      </c>
      <c r="R108" s="15"/>
      <c r="S108" s="8"/>
    </row>
    <row r="109" spans="1:19" ht="16.5" customHeight="1" hidden="1">
      <c r="A109" s="3"/>
      <c r="B109" s="5" t="s">
        <v>90</v>
      </c>
      <c r="C109" s="7">
        <f>14.4809+0.783</f>
        <v>15.2639</v>
      </c>
      <c r="D109" s="7">
        <f>13.7179+0.6951</f>
        <v>14.413</v>
      </c>
      <c r="E109" s="7"/>
      <c r="F109" s="7"/>
      <c r="G109" s="7"/>
      <c r="H109" s="7"/>
      <c r="I109" s="7">
        <v>15.3278</v>
      </c>
      <c r="J109" s="7">
        <f>9.5147+5.399</f>
        <v>14.913699999999999</v>
      </c>
      <c r="K109" s="7"/>
      <c r="L109" s="7"/>
      <c r="M109" s="7"/>
      <c r="N109" s="7">
        <v>9.2893</v>
      </c>
      <c r="O109" s="8">
        <v>8.5531</v>
      </c>
      <c r="P109" s="7"/>
      <c r="Q109" s="7">
        <v>12.9594</v>
      </c>
      <c r="R109" s="15"/>
      <c r="S109" s="8"/>
    </row>
    <row r="110" spans="1:19" ht="16.5" customHeight="1" hidden="1">
      <c r="A110" s="3"/>
      <c r="B110" s="5" t="s">
        <v>91</v>
      </c>
      <c r="C110" s="7">
        <f>13.7561+1.3414</f>
        <v>15.0975</v>
      </c>
      <c r="D110" s="7">
        <f>12.9851+1.2486</f>
        <v>14.233699999999999</v>
      </c>
      <c r="E110" s="7"/>
      <c r="F110" s="7"/>
      <c r="G110" s="7"/>
      <c r="H110" s="7"/>
      <c r="I110" s="7">
        <v>14.0553</v>
      </c>
      <c r="J110" s="7">
        <f>9.5147+4.7491</f>
        <v>14.2638</v>
      </c>
      <c r="K110" s="7"/>
      <c r="L110" s="7"/>
      <c r="M110" s="7"/>
      <c r="N110" s="7">
        <v>9.2893</v>
      </c>
      <c r="O110" s="8">
        <v>7.7299</v>
      </c>
      <c r="P110" s="7"/>
      <c r="Q110" s="7">
        <v>12.8497</v>
      </c>
      <c r="R110" s="15"/>
      <c r="S110" s="8"/>
    </row>
    <row r="111" spans="1:19" ht="16.5" customHeight="1" hidden="1">
      <c r="A111" s="3"/>
      <c r="B111" s="5" t="s">
        <v>92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8"/>
      <c r="P111" s="7"/>
      <c r="Q111" s="7"/>
      <c r="R111" s="15"/>
      <c r="S111" s="8"/>
    </row>
    <row r="112" spans="1:19" ht="16.5" customHeight="1" hidden="1">
      <c r="A112" s="3"/>
      <c r="B112" s="5" t="s">
        <v>93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  <c r="P112" s="7"/>
      <c r="Q112" s="7"/>
      <c r="R112" s="15"/>
      <c r="S112" s="8"/>
    </row>
    <row r="113" spans="1:19" ht="16.5" customHeight="1" hidden="1">
      <c r="A113" s="3"/>
      <c r="B113" s="4" t="s">
        <v>13</v>
      </c>
      <c r="C113" s="11">
        <f>(C106*2+C108*7+C109*7+C110*7+C112*7)/30</f>
        <v>11.57505</v>
      </c>
      <c r="D113" s="11">
        <f>(D108*7+D109*7+D110*7+D111*7+D112*2)/30</f>
        <v>9.982769999999999</v>
      </c>
      <c r="E113" s="11"/>
      <c r="F113" s="11"/>
      <c r="G113" s="11"/>
      <c r="H113" s="11"/>
      <c r="I113" s="11">
        <f>(I108*7+I109*7+I110*7+I111*7+I112*2)/30</f>
        <v>10.45548</v>
      </c>
      <c r="J113" s="11">
        <f>(J108*7+J109*7+J110*7+J111*7+J112*2)/30</f>
        <v>10.288973333333331</v>
      </c>
      <c r="K113" s="11"/>
      <c r="L113" s="11"/>
      <c r="M113" s="11"/>
      <c r="N113" s="11">
        <f>(N108*7+N109*7+N110*7+N111*7+N112*2)/30</f>
        <v>6.502510000000001</v>
      </c>
      <c r="O113" s="38">
        <f>(O108*7+O109*7+O110*7+O111*7+O112*2)/30</f>
        <v>5.808086666666667</v>
      </c>
      <c r="P113" s="11"/>
      <c r="Q113" s="11">
        <f>(Q108*7+Q109*7+Q110*7+Q111*7+Q112*2)/30</f>
        <v>9.046426666666667</v>
      </c>
      <c r="R113" s="15"/>
      <c r="S113" s="8"/>
    </row>
    <row r="114" spans="1:19" ht="16.5" customHeight="1" hidden="1">
      <c r="A114" s="3"/>
      <c r="B114" s="5" t="s">
        <v>89</v>
      </c>
      <c r="C114" s="7">
        <v>14.4253</v>
      </c>
      <c r="D114" s="7">
        <v>13.6212</v>
      </c>
      <c r="E114" s="7"/>
      <c r="F114" s="7"/>
      <c r="G114" s="7"/>
      <c r="H114" s="7"/>
      <c r="I114" s="7">
        <v>15.4261</v>
      </c>
      <c r="J114" s="7">
        <f>9.5147+5.4034</f>
        <v>14.918099999999999</v>
      </c>
      <c r="K114" s="7"/>
      <c r="L114" s="7"/>
      <c r="M114" s="7"/>
      <c r="N114" s="7">
        <f>9.2893+5.4787</f>
        <v>14.768</v>
      </c>
      <c r="O114" s="8">
        <v>8.6088</v>
      </c>
      <c r="P114" s="7"/>
      <c r="Q114" s="7">
        <v>12.9613</v>
      </c>
      <c r="R114" s="15"/>
      <c r="S114" s="8"/>
    </row>
    <row r="115" spans="1:19" ht="16.5" customHeight="1" hidden="1">
      <c r="A115" s="3"/>
      <c r="B115" s="5" t="s">
        <v>90</v>
      </c>
      <c r="C115" s="7">
        <v>13.9774</v>
      </c>
      <c r="D115" s="7">
        <v>13.1675</v>
      </c>
      <c r="E115" s="7"/>
      <c r="F115" s="7"/>
      <c r="G115" s="7"/>
      <c r="H115" s="7"/>
      <c r="I115" s="7">
        <v>15.3278</v>
      </c>
      <c r="J115" s="7">
        <f>9.5147+5.399</f>
        <v>14.913699999999999</v>
      </c>
      <c r="K115" s="7"/>
      <c r="L115" s="7"/>
      <c r="M115" s="7"/>
      <c r="N115" s="7">
        <f>9.2893+5.399</f>
        <v>14.688300000000002</v>
      </c>
      <c r="O115" s="8">
        <v>8.5531</v>
      </c>
      <c r="P115" s="7"/>
      <c r="Q115" s="7">
        <v>12.9594</v>
      </c>
      <c r="R115" s="15"/>
      <c r="S115" s="8"/>
    </row>
    <row r="116" spans="1:19" ht="16.5" customHeight="1" hidden="1">
      <c r="A116" s="3"/>
      <c r="B116" s="5" t="s">
        <v>91</v>
      </c>
      <c r="C116" s="7">
        <v>13.7248</v>
      </c>
      <c r="D116" s="7">
        <v>12.913</v>
      </c>
      <c r="E116" s="7"/>
      <c r="F116" s="7"/>
      <c r="G116" s="7"/>
      <c r="H116" s="7"/>
      <c r="I116" s="7">
        <v>14.0553</v>
      </c>
      <c r="J116" s="7">
        <f>9.5147+4.7491</f>
        <v>14.2638</v>
      </c>
      <c r="K116" s="7"/>
      <c r="L116" s="7"/>
      <c r="M116" s="7"/>
      <c r="N116" s="7">
        <f>9.2893+4.8312</f>
        <v>14.1205</v>
      </c>
      <c r="O116" s="8">
        <v>7.7299</v>
      </c>
      <c r="P116" s="7"/>
      <c r="Q116" s="7">
        <v>12.8497</v>
      </c>
      <c r="R116" s="15"/>
      <c r="S116" s="8"/>
    </row>
    <row r="117" spans="1:19" ht="16.5" customHeight="1" hidden="1">
      <c r="A117" s="3"/>
      <c r="B117" s="5" t="s">
        <v>92</v>
      </c>
      <c r="C117" s="7">
        <v>13.9067</v>
      </c>
      <c r="D117" s="7">
        <v>13.1241</v>
      </c>
      <c r="E117" s="7"/>
      <c r="F117" s="7"/>
      <c r="G117" s="7"/>
      <c r="H117" s="7"/>
      <c r="I117" s="7">
        <v>14.6186</v>
      </c>
      <c r="J117" s="7">
        <f>9.5147+5.3751</f>
        <v>14.8898</v>
      </c>
      <c r="K117" s="7"/>
      <c r="L117" s="7"/>
      <c r="M117" s="7"/>
      <c r="N117" s="7">
        <f>9.2893+5.4626</f>
        <v>14.751900000000001</v>
      </c>
      <c r="O117" s="8">
        <v>7.8454</v>
      </c>
      <c r="P117" s="7"/>
      <c r="Q117" s="7">
        <v>12.7142</v>
      </c>
      <c r="R117" s="15"/>
      <c r="S117" s="8"/>
    </row>
    <row r="118" spans="1:19" ht="16.5" customHeight="1" hidden="1">
      <c r="A118" s="3"/>
      <c r="B118" s="5" t="s">
        <v>93</v>
      </c>
      <c r="C118" s="7">
        <v>13.1194</v>
      </c>
      <c r="D118" s="7">
        <v>12.405</v>
      </c>
      <c r="E118" s="7"/>
      <c r="F118" s="7"/>
      <c r="G118" s="7"/>
      <c r="H118" s="7"/>
      <c r="I118" s="7">
        <v>14.2123</v>
      </c>
      <c r="J118" s="7">
        <f>9.5147+4.9573</f>
        <v>14.472</v>
      </c>
      <c r="K118" s="7"/>
      <c r="L118" s="7"/>
      <c r="M118" s="7"/>
      <c r="N118" s="7">
        <f>9.2893+5.0487</f>
        <v>14.338000000000001</v>
      </c>
      <c r="O118" s="8">
        <v>8.0116</v>
      </c>
      <c r="P118" s="7"/>
      <c r="Q118" s="7">
        <v>12.5406</v>
      </c>
      <c r="R118" s="15"/>
      <c r="S118" s="8"/>
    </row>
    <row r="119" spans="1:19" ht="16.5" customHeight="1" hidden="1">
      <c r="A119" s="3"/>
      <c r="B119" s="4" t="s">
        <v>13</v>
      </c>
      <c r="C119" s="11">
        <f>(C114*7+C115*7+C116*7+C117*7+C118*2)/30</f>
        <v>13.949273333333334</v>
      </c>
      <c r="D119" s="11">
        <f>(D114*7+D115*7+D116*7+D117*7+D118*2)/30</f>
        <v>13.15302</v>
      </c>
      <c r="E119" s="11"/>
      <c r="F119" s="11"/>
      <c r="G119" s="11"/>
      <c r="H119" s="11"/>
      <c r="I119" s="11">
        <f>(I114*7+I115*7+I116*7+I117*7+I118*2)/30</f>
        <v>14.813973333333333</v>
      </c>
      <c r="J119" s="11">
        <f>(J114*7+J115*7+J116*7+J117*7+J118*2)/30</f>
        <v>14.72806</v>
      </c>
      <c r="K119" s="11"/>
      <c r="L119" s="11"/>
      <c r="M119" s="11"/>
      <c r="N119" s="11">
        <f>(N114*7+N115*7+N116*7+N117*7+N118*2)/30</f>
        <v>14.565896666666667</v>
      </c>
      <c r="O119" s="38">
        <f>(O114*7+O115*7+O116*7+O117*7+O118*2)/30</f>
        <v>8.172786666666667</v>
      </c>
      <c r="P119" s="11"/>
      <c r="Q119" s="11">
        <f>(Q114*7+Q115*7+Q116*7+Q117*7+Q118*2)/30</f>
        <v>12.849113333333333</v>
      </c>
      <c r="R119" s="15"/>
      <c r="S119" s="8"/>
    </row>
    <row r="120" spans="1:19" ht="16.5" customHeight="1" hidden="1">
      <c r="A120" s="3"/>
      <c r="B120" s="5" t="s">
        <v>94</v>
      </c>
      <c r="C120" s="7">
        <v>11.6434</v>
      </c>
      <c r="D120" s="7">
        <v>10.854</v>
      </c>
      <c r="E120" s="7"/>
      <c r="F120" s="7"/>
      <c r="G120" s="7"/>
      <c r="H120" s="7"/>
      <c r="I120" s="7">
        <v>12.5224</v>
      </c>
      <c r="J120" s="7">
        <f>9.5147+3.0473</f>
        <v>12.562</v>
      </c>
      <c r="K120" s="7"/>
      <c r="L120" s="7"/>
      <c r="M120" s="7"/>
      <c r="N120" s="7">
        <f>9.2893+3.2014</f>
        <v>12.4907</v>
      </c>
      <c r="O120" s="8">
        <v>7.9884</v>
      </c>
      <c r="P120" s="7"/>
      <c r="Q120" s="7">
        <v>12.4425</v>
      </c>
      <c r="R120" s="15"/>
      <c r="S120" s="8"/>
    </row>
    <row r="121" spans="1:19" ht="16.5" customHeight="1" hidden="1">
      <c r="A121" s="3"/>
      <c r="B121" s="5" t="s">
        <v>95</v>
      </c>
      <c r="C121" s="7">
        <v>11.837</v>
      </c>
      <c r="D121" s="7">
        <v>11.0151</v>
      </c>
      <c r="E121" s="7"/>
      <c r="F121" s="7"/>
      <c r="G121" s="7"/>
      <c r="H121" s="7"/>
      <c r="I121" s="7">
        <v>12.0856</v>
      </c>
      <c r="J121" s="7">
        <f>9.5147+3.1819</f>
        <v>12.6966</v>
      </c>
      <c r="K121" s="7"/>
      <c r="L121" s="7"/>
      <c r="M121" s="7"/>
      <c r="N121" s="7">
        <f>9.2893+3.3315</f>
        <v>12.620800000000001</v>
      </c>
      <c r="O121" s="8">
        <v>7.2109</v>
      </c>
      <c r="P121" s="7"/>
      <c r="Q121" s="7">
        <v>12.4115</v>
      </c>
      <c r="R121" s="15"/>
      <c r="S121" s="8"/>
    </row>
    <row r="122" spans="1:19" ht="16.5" customHeight="1" hidden="1">
      <c r="A122" s="3"/>
      <c r="B122" s="5" t="s">
        <v>96</v>
      </c>
      <c r="C122" s="7">
        <v>11.6313</v>
      </c>
      <c r="D122" s="7">
        <v>10.8379</v>
      </c>
      <c r="E122" s="7"/>
      <c r="F122" s="7"/>
      <c r="G122" s="7"/>
      <c r="H122" s="7"/>
      <c r="I122" s="7">
        <v>12.9276</v>
      </c>
      <c r="J122" s="7">
        <f>9.5147+4.0661</f>
        <v>13.5808</v>
      </c>
      <c r="K122" s="7"/>
      <c r="L122" s="7"/>
      <c r="M122" s="7"/>
      <c r="N122" s="7">
        <f>9.2893+4.2214</f>
        <v>13.5107</v>
      </c>
      <c r="O122" s="8">
        <v>7.3364</v>
      </c>
      <c r="P122" s="7"/>
      <c r="Q122" s="7">
        <v>12.4401</v>
      </c>
      <c r="R122" s="15"/>
      <c r="S122" s="8"/>
    </row>
    <row r="123" spans="1:19" ht="16.5" customHeight="1" hidden="1">
      <c r="A123" s="3"/>
      <c r="B123" s="5" t="s">
        <v>97</v>
      </c>
      <c r="C123" s="7">
        <v>11.4681</v>
      </c>
      <c r="D123" s="7">
        <v>10.4958</v>
      </c>
      <c r="E123" s="7"/>
      <c r="F123" s="7"/>
      <c r="G123" s="7"/>
      <c r="H123" s="7"/>
      <c r="I123" s="7">
        <v>12.4746</v>
      </c>
      <c r="J123" s="7">
        <f>9.5147+2.706</f>
        <v>12.220699999999999</v>
      </c>
      <c r="K123" s="7"/>
      <c r="L123" s="7"/>
      <c r="M123" s="7"/>
      <c r="N123" s="7">
        <f>9.2893+2.8609</f>
        <v>12.150200000000002</v>
      </c>
      <c r="O123" s="8">
        <v>7.009</v>
      </c>
      <c r="P123" s="7"/>
      <c r="Q123" s="7">
        <v>12.341</v>
      </c>
      <c r="R123" s="15"/>
      <c r="S123" s="8"/>
    </row>
    <row r="124" spans="1:19" ht="16.5" customHeight="1" hidden="1">
      <c r="A124" s="3"/>
      <c r="B124" s="5" t="s">
        <v>45</v>
      </c>
      <c r="C124" s="7">
        <v>11.4681</v>
      </c>
      <c r="D124" s="7">
        <v>10.4958</v>
      </c>
      <c r="E124" s="7"/>
      <c r="F124" s="7"/>
      <c r="G124" s="7"/>
      <c r="H124" s="7"/>
      <c r="I124" s="7">
        <v>12.4746</v>
      </c>
      <c r="J124" s="7">
        <f>9.5147+2.706</f>
        <v>12.220699999999999</v>
      </c>
      <c r="K124" s="7"/>
      <c r="L124" s="7"/>
      <c r="M124" s="7"/>
      <c r="N124" s="7">
        <f>9.2893+2.8609</f>
        <v>12.150200000000002</v>
      </c>
      <c r="O124" s="8">
        <v>7.009</v>
      </c>
      <c r="P124" s="7"/>
      <c r="Q124" s="7">
        <v>12.341</v>
      </c>
      <c r="R124" s="15"/>
      <c r="S124" s="8"/>
    </row>
    <row r="125" spans="1:19" ht="16.5" customHeight="1" hidden="1">
      <c r="A125" s="3"/>
      <c r="B125" s="4" t="s">
        <v>13</v>
      </c>
      <c r="C125" s="11">
        <f>(C118*5+C120*7+C121*7+C122*7+C123*3+C124*2)/31</f>
        <v>11.894174193548386</v>
      </c>
      <c r="D125" s="11">
        <f>(D118*5+D120*7+D121*7+D122*7+D123*3+D124*2)/31</f>
        <v>11.079129032258063</v>
      </c>
      <c r="E125" s="11"/>
      <c r="F125" s="11"/>
      <c r="G125" s="11"/>
      <c r="H125" s="11"/>
      <c r="I125" s="11">
        <f>(I118*5+I120*7+I121*7+I122*7+I123*3+I124*2)/31</f>
        <v>12.78011935483871</v>
      </c>
      <c r="J125" s="11">
        <f>(J118*5+J120*7+J121*7+J122*7+J123*3+J124*2)/31</f>
        <v>13.07546129032258</v>
      </c>
      <c r="K125" s="11"/>
      <c r="L125" s="11"/>
      <c r="M125" s="11"/>
      <c r="N125" s="11">
        <f>(N118*5+N120*7+N121*7+N122*7+N123*3+N124*2)/31</f>
        <v>12.993432258064518</v>
      </c>
      <c r="O125" s="38">
        <f>(O118*5+O120*7+O121*7+O122*7+O123*3+O124*2)/31</f>
        <v>7.511383870967742</v>
      </c>
      <c r="P125" s="11"/>
      <c r="Q125" s="11">
        <f>(Q118*5+Q120*7+Q121*7+Q122*7+Q123*3+Q124*2)/31</f>
        <v>12.434409677419353</v>
      </c>
      <c r="R125" s="15"/>
      <c r="S125" s="8"/>
    </row>
    <row r="126" spans="1:19" ht="16.5" customHeight="1" hidden="1">
      <c r="A126" s="3"/>
      <c r="B126" s="6">
        <v>2005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  <c r="P126" s="7"/>
      <c r="Q126" s="7"/>
      <c r="R126" s="15"/>
      <c r="S126" s="8"/>
    </row>
    <row r="127" spans="1:19" ht="16.5" customHeight="1" hidden="1">
      <c r="A127" s="3"/>
      <c r="B127" s="5" t="s">
        <v>98</v>
      </c>
      <c r="C127" s="7">
        <v>11.3528</v>
      </c>
      <c r="D127" s="7">
        <v>10.5062</v>
      </c>
      <c r="E127" s="7"/>
      <c r="F127" s="7"/>
      <c r="G127" s="7"/>
      <c r="H127" s="7"/>
      <c r="I127" s="7">
        <v>11.9677</v>
      </c>
      <c r="J127" s="7">
        <f>9.562+2.6754</f>
        <v>12.2374</v>
      </c>
      <c r="K127" s="7"/>
      <c r="L127" s="7"/>
      <c r="M127" s="7"/>
      <c r="N127" s="7">
        <f>9.2893+2.8442</f>
        <v>12.133500000000002</v>
      </c>
      <c r="O127" s="8">
        <v>7.1472</v>
      </c>
      <c r="P127" s="7"/>
      <c r="Q127" s="7">
        <v>12.341</v>
      </c>
      <c r="R127" s="15"/>
      <c r="S127" s="8"/>
    </row>
    <row r="128" spans="1:19" ht="16.5" customHeight="1" hidden="1">
      <c r="A128" s="3"/>
      <c r="B128" s="5" t="s">
        <v>99</v>
      </c>
      <c r="C128" s="7">
        <v>11.231</v>
      </c>
      <c r="D128" s="7">
        <v>10.516</v>
      </c>
      <c r="E128" s="7"/>
      <c r="F128" s="7"/>
      <c r="G128" s="7"/>
      <c r="H128" s="7"/>
      <c r="I128" s="7">
        <v>12.3834</v>
      </c>
      <c r="J128" s="7">
        <f>9.562+3.1081</f>
        <v>12.6701</v>
      </c>
      <c r="K128" s="7"/>
      <c r="L128" s="7"/>
      <c r="M128" s="7"/>
      <c r="N128" s="7">
        <f>9.2893+3.2741</f>
        <v>12.563400000000001</v>
      </c>
      <c r="O128" s="8">
        <v>7.2295</v>
      </c>
      <c r="P128" s="7"/>
      <c r="Q128" s="7">
        <v>12.3515</v>
      </c>
      <c r="R128" s="15"/>
      <c r="S128" s="8"/>
    </row>
    <row r="129" spans="1:19" ht="16.5" customHeight="1" hidden="1">
      <c r="A129" s="3"/>
      <c r="B129" s="5" t="s">
        <v>100</v>
      </c>
      <c r="C129" s="7">
        <v>12.0017</v>
      </c>
      <c r="D129" s="7">
        <v>11.3931</v>
      </c>
      <c r="E129" s="7"/>
      <c r="F129" s="7"/>
      <c r="G129" s="7"/>
      <c r="H129" s="7"/>
      <c r="I129" s="7">
        <v>12.7671</v>
      </c>
      <c r="J129" s="7">
        <f>9.562+3.0412</f>
        <v>12.6032</v>
      </c>
      <c r="K129" s="7"/>
      <c r="L129" s="7"/>
      <c r="M129" s="7"/>
      <c r="N129" s="7">
        <f>9.2893+3.2149</f>
        <v>12.5042</v>
      </c>
      <c r="O129" s="8">
        <v>7.573</v>
      </c>
      <c r="P129" s="7"/>
      <c r="Q129" s="7">
        <v>12.3064</v>
      </c>
      <c r="R129" s="15"/>
      <c r="S129" s="8"/>
    </row>
    <row r="130" spans="1:19" ht="16.5" customHeight="1" hidden="1">
      <c r="A130" s="3"/>
      <c r="B130" s="5" t="s">
        <v>101</v>
      </c>
      <c r="C130" s="7">
        <v>11.7517</v>
      </c>
      <c r="D130" s="7">
        <v>11.5558</v>
      </c>
      <c r="E130" s="7"/>
      <c r="F130" s="7"/>
      <c r="G130" s="7"/>
      <c r="H130" s="7"/>
      <c r="I130" s="7">
        <v>12.928</v>
      </c>
      <c r="J130" s="7">
        <f>9.562+3.2971</f>
        <v>12.8591</v>
      </c>
      <c r="K130" s="7"/>
      <c r="L130" s="7"/>
      <c r="M130" s="7"/>
      <c r="N130" s="7">
        <f>9.2893+3.4712</f>
        <v>12.7605</v>
      </c>
      <c r="O130" s="8">
        <v>7.6639</v>
      </c>
      <c r="P130" s="7"/>
      <c r="Q130" s="7">
        <v>12.1675</v>
      </c>
      <c r="R130" s="15"/>
      <c r="S130" s="8"/>
    </row>
    <row r="131" spans="1:19" ht="16.5" customHeight="1" hidden="1">
      <c r="A131" s="3"/>
      <c r="B131" s="5" t="s">
        <v>102</v>
      </c>
      <c r="C131" s="7">
        <v>12.0384</v>
      </c>
      <c r="D131" s="7">
        <v>11.5558</v>
      </c>
      <c r="E131" s="7"/>
      <c r="F131" s="7"/>
      <c r="G131" s="7"/>
      <c r="H131" s="7"/>
      <c r="I131" s="7">
        <v>12.928</v>
      </c>
      <c r="J131" s="7">
        <f>9.562+3.2971</f>
        <v>12.8591</v>
      </c>
      <c r="K131" s="7"/>
      <c r="L131" s="7"/>
      <c r="M131" s="7"/>
      <c r="N131" s="7">
        <f>9.2893+3.4712</f>
        <v>12.7605</v>
      </c>
      <c r="O131" s="8">
        <v>7.6639</v>
      </c>
      <c r="P131" s="7"/>
      <c r="Q131" s="7">
        <v>12.1675</v>
      </c>
      <c r="R131" s="15"/>
      <c r="S131" s="8"/>
    </row>
    <row r="132" spans="1:19" ht="16.5" customHeight="1" hidden="1">
      <c r="A132" s="3"/>
      <c r="B132" s="5" t="s">
        <v>103</v>
      </c>
      <c r="C132" s="7">
        <v>11.7884</v>
      </c>
      <c r="D132" s="7">
        <v>12.3048</v>
      </c>
      <c r="E132" s="7"/>
      <c r="F132" s="7"/>
      <c r="G132" s="7"/>
      <c r="H132" s="7"/>
      <c r="I132" s="7">
        <v>13.6066</v>
      </c>
      <c r="J132" s="7">
        <f>9.562+3.6283</f>
        <v>13.190299999999999</v>
      </c>
      <c r="K132" s="7"/>
      <c r="L132" s="7"/>
      <c r="M132" s="7"/>
      <c r="N132" s="7">
        <f>9.2893+3.8023</f>
        <v>13.0916</v>
      </c>
      <c r="O132" s="8">
        <v>7.7133</v>
      </c>
      <c r="P132" s="7"/>
      <c r="Q132" s="7">
        <v>12.1596</v>
      </c>
      <c r="R132" s="15"/>
      <c r="S132" s="8"/>
    </row>
    <row r="133" spans="1:19" ht="16.5" customHeight="1" hidden="1">
      <c r="A133" s="3"/>
      <c r="B133" s="5" t="s">
        <v>104</v>
      </c>
      <c r="C133" s="7">
        <v>12.7714</v>
      </c>
      <c r="D133" s="7">
        <v>12.3048</v>
      </c>
      <c r="E133" s="7"/>
      <c r="F133" s="7"/>
      <c r="G133" s="7"/>
      <c r="H133" s="7"/>
      <c r="I133" s="7">
        <v>13.6066</v>
      </c>
      <c r="J133" s="7">
        <f>9.562+3.6283</f>
        <v>13.190299999999999</v>
      </c>
      <c r="K133" s="7"/>
      <c r="L133" s="7"/>
      <c r="M133" s="7"/>
      <c r="N133" s="7">
        <f>9.2893+3.8023</f>
        <v>13.0916</v>
      </c>
      <c r="O133" s="8">
        <v>7.7133</v>
      </c>
      <c r="P133" s="7"/>
      <c r="Q133" s="7">
        <v>12.1596</v>
      </c>
      <c r="R133" s="15"/>
      <c r="S133" s="8"/>
    </row>
    <row r="134" spans="1:19" ht="16.5" customHeight="1" hidden="1">
      <c r="A134" s="3"/>
      <c r="B134" s="4" t="s">
        <v>13</v>
      </c>
      <c r="C134" s="11">
        <f>(C124*2+C127*7+C128*7+C129*1+C130*6+C131*4+C132*3+C133*1)/31</f>
        <v>11.60725483870968</v>
      </c>
      <c r="D134" s="11">
        <f>(D124*2+D127*7+D128*7+D129*1+D130*6+D131*4+D132*3+D133*1)/31</f>
        <v>11.107009677419354</v>
      </c>
      <c r="E134" s="11"/>
      <c r="F134" s="11"/>
      <c r="G134" s="11"/>
      <c r="H134" s="11"/>
      <c r="I134" s="11">
        <f>(I124*2+I127*7+I128*7+I129*1+I130*6+I131*4+I132*3+I133*1)/31</f>
        <v>12.641303225806451</v>
      </c>
      <c r="J134" s="11">
        <f>(J124*2+J127*7+J128*7+J129*1+J130*6+J131*4+J132*3+J133*1)/31</f>
        <v>12.669332258064514</v>
      </c>
      <c r="K134" s="11"/>
      <c r="L134" s="11"/>
      <c r="M134" s="11"/>
      <c r="N134" s="11">
        <f>(N124*2+N127*7+N128*7+N129*1+N130*6+N131*4+N132*3+N133*1)/31</f>
        <v>12.569493548387097</v>
      </c>
      <c r="O134" s="38">
        <f>(O124*2+O127*7+O128*7+O129*1+O130*6+O131*4+O132*3+O133*1)/31</f>
        <v>7.410325806451613</v>
      </c>
      <c r="P134" s="11"/>
      <c r="Q134" s="11">
        <f>(Q124*2+Q127*7+Q128*7+Q129*1+Q130*6+Q131*4+Q132*3+Q133*1)/31</f>
        <v>12.26288064516129</v>
      </c>
      <c r="R134" s="15"/>
      <c r="S134" s="8"/>
    </row>
    <row r="135" spans="1:19" ht="16.5" customHeight="1" hidden="1">
      <c r="A135" s="3"/>
      <c r="B135" s="5" t="s">
        <v>105</v>
      </c>
      <c r="C135" s="7">
        <v>12.6013</v>
      </c>
      <c r="D135" s="7">
        <v>12.4338</v>
      </c>
      <c r="E135" s="7"/>
      <c r="F135" s="7"/>
      <c r="G135" s="7"/>
      <c r="H135" s="7"/>
      <c r="I135" s="7">
        <v>12.7559</v>
      </c>
      <c r="J135" s="7">
        <f>9.562+3.201</f>
        <v>12.763</v>
      </c>
      <c r="K135" s="7"/>
      <c r="L135" s="7"/>
      <c r="M135" s="7"/>
      <c r="N135" s="7">
        <f>9.2893+3.3853</f>
        <v>12.674600000000002</v>
      </c>
      <c r="O135" s="8">
        <v>7.5513</v>
      </c>
      <c r="P135" s="7"/>
      <c r="Q135" s="7">
        <v>12.1723</v>
      </c>
      <c r="R135" s="15"/>
      <c r="S135" s="8"/>
    </row>
    <row r="136" spans="1:19" ht="16.5" customHeight="1" hidden="1">
      <c r="A136" s="3"/>
      <c r="B136" s="5" t="s">
        <v>106</v>
      </c>
      <c r="C136" s="7">
        <v>12.9347</v>
      </c>
      <c r="D136" s="7">
        <v>12.3932</v>
      </c>
      <c r="E136" s="7"/>
      <c r="F136" s="7"/>
      <c r="G136" s="7"/>
      <c r="H136" s="7"/>
      <c r="I136" s="7">
        <v>13.0103</v>
      </c>
      <c r="J136" s="7">
        <f>9.562+3.5117</f>
        <v>13.073699999999999</v>
      </c>
      <c r="K136" s="7"/>
      <c r="L136" s="7"/>
      <c r="M136" s="7"/>
      <c r="N136" s="7">
        <f>9.2893+3.6941</f>
        <v>12.983400000000001</v>
      </c>
      <c r="O136" s="8">
        <v>7.6109</v>
      </c>
      <c r="P136" s="7"/>
      <c r="Q136" s="7">
        <v>12.1547</v>
      </c>
      <c r="R136" s="15"/>
      <c r="S136" s="8"/>
    </row>
    <row r="137" spans="1:19" ht="16.5" customHeight="1" hidden="1">
      <c r="A137" s="3"/>
      <c r="B137" s="5" t="s">
        <v>107</v>
      </c>
      <c r="C137" s="7">
        <v>12.8128</v>
      </c>
      <c r="D137" s="7">
        <v>12.3601</v>
      </c>
      <c r="E137" s="7"/>
      <c r="F137" s="7"/>
      <c r="G137" s="7"/>
      <c r="H137" s="7"/>
      <c r="I137" s="7">
        <v>12.7671</v>
      </c>
      <c r="J137" s="7">
        <f>9.562+3.5117</f>
        <v>13.073699999999999</v>
      </c>
      <c r="K137" s="7"/>
      <c r="L137" s="7"/>
      <c r="M137" s="7"/>
      <c r="N137" s="7">
        <f>9.2893+3.6941</f>
        <v>12.983400000000001</v>
      </c>
      <c r="O137" s="8">
        <v>7.573</v>
      </c>
      <c r="P137" s="7"/>
      <c r="Q137" s="7">
        <v>12.3064</v>
      </c>
      <c r="R137" s="15"/>
      <c r="S137" s="8"/>
    </row>
    <row r="138" spans="1:19" ht="16.5" customHeight="1" hidden="1">
      <c r="A138" s="3"/>
      <c r="B138" s="5" t="s">
        <v>52</v>
      </c>
      <c r="C138" s="7">
        <v>12.9905</v>
      </c>
      <c r="D138" s="7">
        <v>12.5459</v>
      </c>
      <c r="E138" s="7"/>
      <c r="F138" s="7"/>
      <c r="G138" s="7"/>
      <c r="H138" s="7"/>
      <c r="I138" s="7">
        <v>12.928</v>
      </c>
      <c r="J138" s="7">
        <f>9.562+3.5117</f>
        <v>13.073699999999999</v>
      </c>
      <c r="K138" s="7"/>
      <c r="L138" s="7"/>
      <c r="M138" s="7"/>
      <c r="N138" s="7">
        <f>9.2893+3.6941</f>
        <v>12.983400000000001</v>
      </c>
      <c r="O138" s="8">
        <v>7.6639</v>
      </c>
      <c r="P138" s="7"/>
      <c r="Q138" s="7">
        <v>12.1675</v>
      </c>
      <c r="R138" s="15"/>
      <c r="S138" s="8"/>
    </row>
    <row r="139" spans="1:19" ht="16.5" customHeight="1" hidden="1">
      <c r="A139" s="3"/>
      <c r="B139" s="5" t="s">
        <v>108</v>
      </c>
      <c r="C139" s="7">
        <v>13.1425</v>
      </c>
      <c r="D139" s="7">
        <v>12.7062</v>
      </c>
      <c r="E139" s="7"/>
      <c r="F139" s="7"/>
      <c r="G139" s="7"/>
      <c r="H139" s="7"/>
      <c r="I139" s="7">
        <v>12.928</v>
      </c>
      <c r="J139" s="7">
        <f>9.562+3.5117</f>
        <v>13.073699999999999</v>
      </c>
      <c r="K139" s="7"/>
      <c r="L139" s="7"/>
      <c r="M139" s="7"/>
      <c r="N139" s="7">
        <f>9.2893+3.6941</f>
        <v>12.983400000000001</v>
      </c>
      <c r="O139" s="8">
        <v>7.6639</v>
      </c>
      <c r="P139" s="7"/>
      <c r="Q139" s="7">
        <v>12.1596</v>
      </c>
      <c r="R139" s="15"/>
      <c r="S139" s="8"/>
    </row>
    <row r="140" spans="1:19" ht="16.5" customHeight="1" hidden="1">
      <c r="A140" s="3"/>
      <c r="B140" s="5" t="s">
        <v>109</v>
      </c>
      <c r="C140" s="7">
        <v>13.5678</v>
      </c>
      <c r="D140" s="7">
        <v>13.3105</v>
      </c>
      <c r="E140" s="7"/>
      <c r="F140" s="7"/>
      <c r="G140" s="7"/>
      <c r="H140" s="7"/>
      <c r="I140" s="7">
        <v>13.2762</v>
      </c>
      <c r="J140" s="7">
        <f>9.562+3.7912</f>
        <v>13.3532</v>
      </c>
      <c r="K140" s="7"/>
      <c r="L140" s="7"/>
      <c r="M140" s="7"/>
      <c r="N140" s="7">
        <f>9.2893+3.9723</f>
        <v>13.261600000000001</v>
      </c>
      <c r="O140" s="8">
        <v>7.7684</v>
      </c>
      <c r="P140" s="7"/>
      <c r="Q140" s="7">
        <v>12.1526</v>
      </c>
      <c r="R140" s="15"/>
      <c r="S140" s="8"/>
    </row>
    <row r="141" spans="1:19" ht="16.5" customHeight="1" hidden="1">
      <c r="A141" s="3"/>
      <c r="B141" s="5" t="s">
        <v>110</v>
      </c>
      <c r="C141" s="7">
        <v>14.5647</v>
      </c>
      <c r="D141" s="7">
        <v>14.0731</v>
      </c>
      <c r="E141" s="7"/>
      <c r="F141" s="7"/>
      <c r="G141" s="7"/>
      <c r="H141" s="7"/>
      <c r="I141" s="7">
        <v>14.8908</v>
      </c>
      <c r="J141" s="7">
        <f>10.122+4.5177</f>
        <v>14.6397</v>
      </c>
      <c r="K141" s="7"/>
      <c r="L141" s="7"/>
      <c r="M141" s="7"/>
      <c r="N141" s="7">
        <f>9.2893+4.7024</f>
        <v>13.991700000000002</v>
      </c>
      <c r="O141" s="8">
        <v>8.1492</v>
      </c>
      <c r="P141" s="7"/>
      <c r="Q141" s="7">
        <v>12.1528</v>
      </c>
      <c r="R141" s="15"/>
      <c r="S141" s="8"/>
    </row>
    <row r="142" spans="1:19" ht="16.5" customHeight="1" hidden="1">
      <c r="A142" s="3"/>
      <c r="B142" s="4" t="s">
        <v>13</v>
      </c>
      <c r="C142" s="11">
        <f>(C133*6+C135*7+C136*7+C140*7+C141*1)/28</f>
        <v>13.03284642857143</v>
      </c>
      <c r="D142" s="11">
        <f>(D133*6+D135*7+D136*7+D140*7+D141*1)/28</f>
        <v>12.67372857142857</v>
      </c>
      <c r="E142" s="11"/>
      <c r="F142" s="11"/>
      <c r="G142" s="11"/>
      <c r="H142" s="11"/>
      <c r="I142" s="11">
        <f>(I133*6+I135*7+I136*7+I140*7+I141*1)/28</f>
        <v>13.208114285714288</v>
      </c>
      <c r="J142" s="11">
        <f>(J133*6+J135*7+J136*7+J140*7+J141*1)/28</f>
        <v>13.146814285714285</v>
      </c>
      <c r="K142" s="11"/>
      <c r="L142" s="11"/>
      <c r="M142" s="11"/>
      <c r="N142" s="11">
        <f>(N133*6+N135*7+N136*7+N140*7+N141*1)/28</f>
        <v>13.03494642857143</v>
      </c>
      <c r="O142" s="38">
        <f>(O133*6+O135*7+O136*7+O140*7+O141*1)/28</f>
        <v>7.676542857142857</v>
      </c>
      <c r="P142" s="11"/>
      <c r="Q142" s="11">
        <f>(Q133*6+Q135*7+Q136*7+Q140*7+Q141*1)/28</f>
        <v>12.159557142857143</v>
      </c>
      <c r="R142" s="15"/>
      <c r="S142" s="8"/>
    </row>
    <row r="143" spans="1:19" ht="16.5" customHeight="1" hidden="1">
      <c r="A143" s="3"/>
      <c r="B143" s="5" t="s">
        <v>111</v>
      </c>
      <c r="C143" s="7">
        <v>14.7557</v>
      </c>
      <c r="D143" s="7">
        <v>14.2893</v>
      </c>
      <c r="E143" s="7">
        <v>14.7134</v>
      </c>
      <c r="F143" s="7"/>
      <c r="G143" s="7"/>
      <c r="H143" s="7"/>
      <c r="I143" s="7">
        <v>15.4699</v>
      </c>
      <c r="J143" s="7">
        <v>15.255</v>
      </c>
      <c r="K143" s="7"/>
      <c r="L143" s="7"/>
      <c r="M143" s="7"/>
      <c r="N143" s="7">
        <v>14.8615</v>
      </c>
      <c r="O143" s="8">
        <v>7.643</v>
      </c>
      <c r="P143" s="7"/>
      <c r="Q143" s="7">
        <v>12.1202</v>
      </c>
      <c r="R143" s="15"/>
      <c r="S143" s="8"/>
    </row>
    <row r="144" spans="1:19" ht="16.5" customHeight="1" hidden="1">
      <c r="A144" s="3"/>
      <c r="B144" s="5" t="s">
        <v>112</v>
      </c>
      <c r="C144" s="7">
        <v>15.6532</v>
      </c>
      <c r="D144" s="7">
        <v>15.1718</v>
      </c>
      <c r="E144" s="7">
        <v>14.9853</v>
      </c>
      <c r="F144" s="7"/>
      <c r="G144" s="7"/>
      <c r="H144" s="7"/>
      <c r="I144" s="7">
        <v>15.767</v>
      </c>
      <c r="J144" s="7">
        <v>15.5915</v>
      </c>
      <c r="K144" s="7"/>
      <c r="L144" s="7"/>
      <c r="M144" s="7"/>
      <c r="N144" s="7">
        <v>15.1994</v>
      </c>
      <c r="O144" s="8">
        <v>8.2992</v>
      </c>
      <c r="P144" s="7"/>
      <c r="Q144" s="7">
        <v>12.1035</v>
      </c>
      <c r="R144" s="15"/>
      <c r="S144" s="8"/>
    </row>
    <row r="145" spans="1:19" ht="16.5" customHeight="1" hidden="1">
      <c r="A145" s="3"/>
      <c r="B145" s="5" t="s">
        <v>113</v>
      </c>
      <c r="C145" s="7">
        <v>15.095</v>
      </c>
      <c r="D145" s="7">
        <v>14.6268</v>
      </c>
      <c r="E145" s="7">
        <v>14.9401</v>
      </c>
      <c r="F145" s="7"/>
      <c r="G145" s="7"/>
      <c r="H145" s="7"/>
      <c r="I145" s="7">
        <v>16.8942</v>
      </c>
      <c r="J145" s="7">
        <v>16.3334</v>
      </c>
      <c r="K145" s="7"/>
      <c r="L145" s="7"/>
      <c r="M145" s="7"/>
      <c r="N145" s="7">
        <v>15.9392</v>
      </c>
      <c r="O145" s="8">
        <v>8.2779</v>
      </c>
      <c r="P145" s="7"/>
      <c r="Q145" s="7">
        <v>12.1362</v>
      </c>
      <c r="R145" s="15"/>
      <c r="S145" s="8"/>
    </row>
    <row r="146" spans="1:19" ht="16.5" customHeight="1" hidden="1">
      <c r="A146" s="3"/>
      <c r="B146" s="5" t="s">
        <v>114</v>
      </c>
      <c r="C146" s="7">
        <v>15.2313</v>
      </c>
      <c r="D146" s="7">
        <v>14.7562</v>
      </c>
      <c r="E146" s="7">
        <v>15.2998</v>
      </c>
      <c r="F146" s="7"/>
      <c r="G146" s="7"/>
      <c r="H146" s="7"/>
      <c r="I146" s="7">
        <v>16.8045</v>
      </c>
      <c r="J146" s="7">
        <v>16.3074</v>
      </c>
      <c r="K146" s="7"/>
      <c r="L146" s="7"/>
      <c r="M146" s="7"/>
      <c r="N146" s="7">
        <v>15.9073</v>
      </c>
      <c r="O146" s="8">
        <v>8.2743</v>
      </c>
      <c r="P146" s="7"/>
      <c r="Q146" s="7">
        <v>12.2242</v>
      </c>
      <c r="R146" s="15"/>
      <c r="S146" s="8"/>
    </row>
    <row r="147" spans="1:19" ht="16.5" customHeight="1" hidden="1">
      <c r="A147" s="3"/>
      <c r="B147" s="4" t="s">
        <v>13</v>
      </c>
      <c r="C147" s="11">
        <f aca="true" t="shared" si="7" ref="C147:Q147">(C141*6+C143*7+C144*7+C145*7+C146*4)/31</f>
        <v>15.05937741935484</v>
      </c>
      <c r="D147" s="11">
        <f t="shared" si="7"/>
        <v>14.583183870967742</v>
      </c>
      <c r="E147" s="11">
        <f t="shared" si="7"/>
        <v>12.053896774193548</v>
      </c>
      <c r="F147" s="11"/>
      <c r="G147" s="11"/>
      <c r="H147" s="11"/>
      <c r="I147" s="11">
        <f t="shared" si="7"/>
        <v>15.918725806451615</v>
      </c>
      <c r="J147" s="11">
        <f t="shared" si="7"/>
        <v>15.591196774193547</v>
      </c>
      <c r="K147" s="11"/>
      <c r="L147" s="11"/>
      <c r="M147" s="11"/>
      <c r="N147" s="11">
        <f t="shared" si="7"/>
        <v>15.147745161290324</v>
      </c>
      <c r="O147" s="38">
        <f t="shared" si="7"/>
        <v>8.113970967741935</v>
      </c>
      <c r="P147" s="11"/>
      <c r="Q147" s="11">
        <f t="shared" si="7"/>
        <v>12.139770967741935</v>
      </c>
      <c r="R147" s="15"/>
      <c r="S147" s="8"/>
    </row>
    <row r="148" spans="1:19" ht="16.5" customHeight="1" hidden="1">
      <c r="A148" s="3"/>
      <c r="B148" s="5" t="s">
        <v>115</v>
      </c>
      <c r="C148" s="7">
        <v>16.3418</v>
      </c>
      <c r="D148" s="7">
        <v>15.8631</v>
      </c>
      <c r="E148" s="7">
        <v>15.6271</v>
      </c>
      <c r="F148" s="7"/>
      <c r="G148" s="7"/>
      <c r="H148" s="7"/>
      <c r="I148" s="7">
        <v>18.5462</v>
      </c>
      <c r="J148" s="7">
        <v>17.5258</v>
      </c>
      <c r="K148" s="7"/>
      <c r="L148" s="7"/>
      <c r="M148" s="7"/>
      <c r="N148" s="7">
        <v>17.14</v>
      </c>
      <c r="O148" s="8">
        <v>8.2646</v>
      </c>
      <c r="P148" s="7"/>
      <c r="Q148" s="7">
        <v>12.3845</v>
      </c>
      <c r="R148" s="15"/>
      <c r="S148" s="8"/>
    </row>
    <row r="149" spans="1:19" ht="16.5" customHeight="1" hidden="1">
      <c r="A149" s="3"/>
      <c r="B149" s="5" t="s">
        <v>116</v>
      </c>
      <c r="C149" s="7">
        <v>16.1302</v>
      </c>
      <c r="D149" s="7">
        <v>15.6483</v>
      </c>
      <c r="E149" s="7">
        <v>16.2154</v>
      </c>
      <c r="F149" s="7"/>
      <c r="G149" s="7"/>
      <c r="H149" s="7"/>
      <c r="I149" s="7">
        <v>17.8363</v>
      </c>
      <c r="J149" s="7">
        <v>16.6633</v>
      </c>
      <c r="K149" s="7"/>
      <c r="L149" s="7"/>
      <c r="M149" s="7"/>
      <c r="N149" s="7">
        <v>16.2741</v>
      </c>
      <c r="O149" s="8">
        <v>8.2223</v>
      </c>
      <c r="P149" s="7"/>
      <c r="Q149" s="7">
        <v>12.4907</v>
      </c>
      <c r="R149" s="15"/>
      <c r="S149" s="8"/>
    </row>
    <row r="150" spans="1:19" ht="16.5" customHeight="1" hidden="1">
      <c r="A150" s="3"/>
      <c r="B150" s="5" t="s">
        <v>117</v>
      </c>
      <c r="C150" s="7">
        <v>15.4713</v>
      </c>
      <c r="D150" s="7">
        <v>14.9892</v>
      </c>
      <c r="E150" s="7">
        <v>15.5185</v>
      </c>
      <c r="F150" s="7"/>
      <c r="G150" s="7"/>
      <c r="H150" s="7"/>
      <c r="I150" s="7">
        <v>17.1259</v>
      </c>
      <c r="J150" s="7">
        <v>15.9961</v>
      </c>
      <c r="K150" s="7"/>
      <c r="L150" s="7"/>
      <c r="M150" s="7"/>
      <c r="N150" s="7">
        <v>15.606</v>
      </c>
      <c r="O150" s="8">
        <v>8.2201</v>
      </c>
      <c r="P150" s="7"/>
      <c r="Q150" s="7">
        <v>12.5218</v>
      </c>
      <c r="R150" s="15"/>
      <c r="S150" s="8"/>
    </row>
    <row r="151" spans="1:19" ht="16.5" customHeight="1" hidden="1">
      <c r="A151" s="3"/>
      <c r="B151" s="5" t="s">
        <v>118</v>
      </c>
      <c r="C151" s="7">
        <v>15.4713</v>
      </c>
      <c r="D151" s="7">
        <v>14.9892</v>
      </c>
      <c r="E151" s="7">
        <v>15.5185</v>
      </c>
      <c r="F151" s="7"/>
      <c r="G151" s="7"/>
      <c r="H151" s="7"/>
      <c r="I151" s="7">
        <v>17.1259</v>
      </c>
      <c r="J151" s="7">
        <v>15.9961</v>
      </c>
      <c r="K151" s="7"/>
      <c r="L151" s="7"/>
      <c r="M151" s="7"/>
      <c r="N151" s="7">
        <v>15.606</v>
      </c>
      <c r="O151" s="8">
        <v>8.2201</v>
      </c>
      <c r="P151" s="7"/>
      <c r="Q151" s="7">
        <v>12.5218</v>
      </c>
      <c r="R151" s="15"/>
      <c r="S151" s="8"/>
    </row>
    <row r="152" spans="1:19" ht="16.5" customHeight="1" hidden="1">
      <c r="A152" s="3"/>
      <c r="B152" s="5" t="s">
        <v>119</v>
      </c>
      <c r="C152" s="7">
        <v>15.6011</v>
      </c>
      <c r="D152" s="7">
        <v>15.1223</v>
      </c>
      <c r="E152" s="7">
        <v>15.4609</v>
      </c>
      <c r="F152" s="7"/>
      <c r="G152" s="7"/>
      <c r="H152" s="7"/>
      <c r="I152" s="7">
        <v>17.8421</v>
      </c>
      <c r="J152" s="7">
        <v>16.4477</v>
      </c>
      <c r="K152" s="7"/>
      <c r="L152" s="7"/>
      <c r="M152" s="7"/>
      <c r="N152" s="7">
        <v>16.0609</v>
      </c>
      <c r="O152" s="8">
        <v>8.2007</v>
      </c>
      <c r="P152" s="7"/>
      <c r="Q152" s="7">
        <v>12.4742</v>
      </c>
      <c r="R152" s="15"/>
      <c r="S152" s="8"/>
    </row>
    <row r="153" spans="1:19" ht="16.5" customHeight="1" hidden="1">
      <c r="A153" s="3"/>
      <c r="B153" s="5" t="s">
        <v>120</v>
      </c>
      <c r="C153" s="7">
        <v>15.6011</v>
      </c>
      <c r="D153" s="7">
        <v>15.1223</v>
      </c>
      <c r="E153" s="7">
        <v>15.4609</v>
      </c>
      <c r="F153" s="7"/>
      <c r="G153" s="7"/>
      <c r="H153" s="7"/>
      <c r="I153" s="7">
        <v>17.8421</v>
      </c>
      <c r="J153" s="7">
        <v>16.4477</v>
      </c>
      <c r="K153" s="7"/>
      <c r="L153" s="7"/>
      <c r="M153" s="7"/>
      <c r="N153" s="7">
        <v>16.0609</v>
      </c>
      <c r="O153" s="8">
        <v>8.2007</v>
      </c>
      <c r="P153" s="7"/>
      <c r="Q153" s="7">
        <v>12.4742</v>
      </c>
      <c r="R153" s="15"/>
      <c r="S153" s="8"/>
    </row>
    <row r="154" spans="1:19" ht="16.5" customHeight="1" hidden="1">
      <c r="A154" s="3"/>
      <c r="B154" s="4" t="s">
        <v>13</v>
      </c>
      <c r="C154" s="11">
        <f>(C146*3+C148*7+C149*7+C150*5+C151*2+C152*2+C153*4)/30</f>
        <v>15.830119999999997</v>
      </c>
      <c r="D154" s="11">
        <f aca="true" t="shared" si="8" ref="D154:Q154">(D146*3+D148*7+D149*7+D150*5+D151*2+D152*2+D153*4)/30</f>
        <v>15.35022</v>
      </c>
      <c r="E154" s="11">
        <f t="shared" si="8"/>
        <v>15.67306</v>
      </c>
      <c r="F154" s="11"/>
      <c r="G154" s="11"/>
      <c r="H154" s="11"/>
      <c r="I154" s="11">
        <f t="shared" si="8"/>
        <v>17.734163333333335</v>
      </c>
      <c r="J154" s="11">
        <f t="shared" si="8"/>
        <v>16.63016</v>
      </c>
      <c r="K154" s="11"/>
      <c r="L154" s="11"/>
      <c r="M154" s="11"/>
      <c r="N154" s="11">
        <f t="shared" si="8"/>
        <v>16.24093333333333</v>
      </c>
      <c r="O154" s="38">
        <f t="shared" si="8"/>
        <v>8.232536666666666</v>
      </c>
      <c r="P154" s="11"/>
      <c r="Q154" s="11">
        <f t="shared" si="8"/>
        <v>12.443226666666666</v>
      </c>
      <c r="R154" s="15"/>
      <c r="S154" s="8"/>
    </row>
    <row r="155" spans="1:19" ht="16.5" customHeight="1" hidden="1">
      <c r="A155" s="3"/>
      <c r="B155" s="5" t="s">
        <v>121</v>
      </c>
      <c r="C155" s="7">
        <v>14.376</v>
      </c>
      <c r="D155" s="7">
        <v>13.9471</v>
      </c>
      <c r="E155" s="7">
        <v>14.8012</v>
      </c>
      <c r="F155" s="7"/>
      <c r="G155" s="7"/>
      <c r="H155" s="7"/>
      <c r="I155" s="7">
        <v>17.695</v>
      </c>
      <c r="J155" s="7">
        <v>15.7932</v>
      </c>
      <c r="K155" s="7"/>
      <c r="L155" s="7"/>
      <c r="M155" s="7"/>
      <c r="N155" s="7">
        <v>15.4018</v>
      </c>
      <c r="O155" s="8">
        <v>8.2007</v>
      </c>
      <c r="P155" s="7"/>
      <c r="Q155" s="7">
        <v>12.4816</v>
      </c>
      <c r="R155" s="15"/>
      <c r="S155" s="8"/>
    </row>
    <row r="156" spans="1:19" ht="16.5" customHeight="1" hidden="1">
      <c r="A156" s="3"/>
      <c r="B156" s="5" t="s">
        <v>122</v>
      </c>
      <c r="C156" s="7">
        <v>14.376</v>
      </c>
      <c r="D156" s="7">
        <v>13.9471</v>
      </c>
      <c r="E156" s="7">
        <v>14.8012</v>
      </c>
      <c r="F156" s="7"/>
      <c r="G156" s="7"/>
      <c r="H156" s="7"/>
      <c r="I156" s="7">
        <v>17.695</v>
      </c>
      <c r="J156" s="7">
        <v>15.7932</v>
      </c>
      <c r="K156" s="7"/>
      <c r="L156" s="7"/>
      <c r="M156" s="7"/>
      <c r="N156" s="7">
        <v>15.4018</v>
      </c>
      <c r="O156" s="8">
        <v>8.2007</v>
      </c>
      <c r="P156" s="7"/>
      <c r="Q156" s="7">
        <v>12.4816</v>
      </c>
      <c r="R156" s="15"/>
      <c r="S156" s="8"/>
    </row>
    <row r="157" spans="1:19" ht="16.5" customHeight="1" hidden="1">
      <c r="A157" s="3"/>
      <c r="B157" s="5" t="s">
        <v>123</v>
      </c>
      <c r="C157" s="7">
        <v>14.427</v>
      </c>
      <c r="D157" s="7">
        <v>13.9982</v>
      </c>
      <c r="E157" s="7">
        <v>14.5288</v>
      </c>
      <c r="F157" s="7"/>
      <c r="G157" s="7"/>
      <c r="H157" s="7"/>
      <c r="I157" s="7">
        <v>16.5597</v>
      </c>
      <c r="J157" s="7">
        <v>15.7208</v>
      </c>
      <c r="K157" s="7"/>
      <c r="L157" s="7"/>
      <c r="M157" s="7"/>
      <c r="N157" s="7">
        <v>15.33</v>
      </c>
      <c r="O157" s="8">
        <v>8.1599</v>
      </c>
      <c r="P157" s="7"/>
      <c r="Q157" s="7">
        <v>12.4713</v>
      </c>
      <c r="R157" s="15"/>
      <c r="S157" s="8"/>
    </row>
    <row r="158" spans="1:19" ht="16.5" customHeight="1" hidden="1">
      <c r="A158" s="3"/>
      <c r="B158" s="5" t="s">
        <v>124</v>
      </c>
      <c r="C158" s="7">
        <v>14.427</v>
      </c>
      <c r="D158" s="7">
        <v>13.9982</v>
      </c>
      <c r="E158" s="7">
        <v>14.5288</v>
      </c>
      <c r="F158" s="7"/>
      <c r="G158" s="7"/>
      <c r="H158" s="7"/>
      <c r="I158" s="7">
        <v>16.5597</v>
      </c>
      <c r="J158" s="7">
        <v>15.7208</v>
      </c>
      <c r="K158" s="7"/>
      <c r="L158" s="7"/>
      <c r="M158" s="7"/>
      <c r="N158" s="7">
        <v>15.33</v>
      </c>
      <c r="O158" s="8">
        <v>8.1599</v>
      </c>
      <c r="P158" s="7"/>
      <c r="Q158" s="7">
        <v>12.4699</v>
      </c>
      <c r="R158" s="15"/>
      <c r="S158" s="8"/>
    </row>
    <row r="159" spans="1:19" ht="16.5" customHeight="1" hidden="1">
      <c r="A159" s="3"/>
      <c r="B159" s="5" t="s">
        <v>125</v>
      </c>
      <c r="C159" s="7">
        <v>13.8131</v>
      </c>
      <c r="D159" s="7">
        <v>13.3878</v>
      </c>
      <c r="E159" s="7">
        <v>13.9636</v>
      </c>
      <c r="F159" s="7"/>
      <c r="G159" s="7"/>
      <c r="H159" s="7"/>
      <c r="I159" s="7">
        <v>15.3594</v>
      </c>
      <c r="J159" s="7">
        <v>14.9386</v>
      </c>
      <c r="K159" s="7"/>
      <c r="L159" s="7"/>
      <c r="M159" s="7"/>
      <c r="N159" s="7">
        <v>14.5471</v>
      </c>
      <c r="O159" s="8">
        <v>8.1499</v>
      </c>
      <c r="P159" s="7"/>
      <c r="Q159" s="7">
        <v>12.4699</v>
      </c>
      <c r="R159" s="15"/>
      <c r="S159" s="8"/>
    </row>
    <row r="160" spans="1:19" ht="16.5" customHeight="1" hidden="1">
      <c r="A160" s="3"/>
      <c r="B160" s="5" t="s">
        <v>126</v>
      </c>
      <c r="C160" s="7">
        <v>13.798</v>
      </c>
      <c r="D160" s="7">
        <v>13.3129</v>
      </c>
      <c r="E160" s="7">
        <v>13.7876</v>
      </c>
      <c r="F160" s="7"/>
      <c r="G160" s="7"/>
      <c r="H160" s="7"/>
      <c r="I160" s="7">
        <v>15.7311</v>
      </c>
      <c r="J160" s="7">
        <v>15.276</v>
      </c>
      <c r="K160" s="7"/>
      <c r="L160" s="7"/>
      <c r="M160" s="7"/>
      <c r="N160" s="7">
        <v>14.88</v>
      </c>
      <c r="O160" s="8">
        <v>8.1465</v>
      </c>
      <c r="P160" s="7"/>
      <c r="Q160" s="7">
        <v>12.5822</v>
      </c>
      <c r="R160" s="15"/>
      <c r="S160" s="8"/>
    </row>
    <row r="161" spans="1:19" ht="16.5" customHeight="1" hidden="1">
      <c r="A161" s="3"/>
      <c r="B161" s="5" t="s">
        <v>127</v>
      </c>
      <c r="C161" s="7">
        <v>14.5311</v>
      </c>
      <c r="D161" s="7">
        <v>14.0433</v>
      </c>
      <c r="E161" s="7">
        <v>14.5168</v>
      </c>
      <c r="F161" s="7"/>
      <c r="G161" s="7"/>
      <c r="H161" s="7"/>
      <c r="I161" s="7">
        <v>15.8747</v>
      </c>
      <c r="J161" s="7">
        <v>15.8985</v>
      </c>
      <c r="K161" s="7"/>
      <c r="L161" s="7"/>
      <c r="M161" s="7"/>
      <c r="N161" s="7">
        <v>15.4993</v>
      </c>
      <c r="O161" s="8">
        <v>8.1465</v>
      </c>
      <c r="P161" s="7"/>
      <c r="Q161" s="7">
        <v>12.6768</v>
      </c>
      <c r="R161" s="15"/>
      <c r="S161" s="8"/>
    </row>
    <row r="162" spans="1:19" ht="16.5" customHeight="1" hidden="1">
      <c r="A162" s="3"/>
      <c r="B162" s="4" t="s">
        <v>13</v>
      </c>
      <c r="C162" s="11">
        <f>(C153*1+C155*7+C157*7+C158*7+C159*6+C160*2+C161*1)/31</f>
        <v>14.297316129032257</v>
      </c>
      <c r="D162" s="11">
        <f aca="true" t="shared" si="9" ref="D162:Q162">(D153*1+D155*7+D157*7+D158*7+D159*6+D160*2+D161*1)/31</f>
        <v>13.862022580645162</v>
      </c>
      <c r="E162" s="11">
        <f t="shared" si="9"/>
        <v>14.462777419354838</v>
      </c>
      <c r="F162" s="11"/>
      <c r="G162" s="11"/>
      <c r="H162" s="11"/>
      <c r="I162" s="11">
        <f t="shared" si="9"/>
        <v>16.54955483870968</v>
      </c>
      <c r="J162" s="11">
        <f t="shared" si="9"/>
        <v>15.586238709677422</v>
      </c>
      <c r="K162" s="11"/>
      <c r="L162" s="11"/>
      <c r="M162" s="11"/>
      <c r="N162" s="11">
        <f t="shared" si="9"/>
        <v>15.194690322580646</v>
      </c>
      <c r="O162" s="38">
        <f t="shared" si="9"/>
        <v>8.167196774193549</v>
      </c>
      <c r="P162" s="11"/>
      <c r="Q162" s="11">
        <f t="shared" si="9"/>
        <v>12.486916129032258</v>
      </c>
      <c r="R162" s="15"/>
      <c r="S162" s="8"/>
    </row>
    <row r="163" spans="1:19" ht="16.5" customHeight="1" hidden="1">
      <c r="A163" s="3"/>
      <c r="B163" s="5" t="s">
        <v>128</v>
      </c>
      <c r="C163" s="7">
        <v>15.8064</v>
      </c>
      <c r="D163" s="7">
        <v>15.2957</v>
      </c>
      <c r="E163" s="7">
        <v>14.9914</v>
      </c>
      <c r="F163" s="7"/>
      <c r="G163" s="7"/>
      <c r="H163" s="7"/>
      <c r="I163" s="7">
        <v>17.3404</v>
      </c>
      <c r="J163" s="7">
        <v>17.3865</v>
      </c>
      <c r="K163" s="7"/>
      <c r="L163" s="7"/>
      <c r="M163" s="7"/>
      <c r="N163" s="7">
        <v>17.0003</v>
      </c>
      <c r="O163" s="8">
        <v>10.3945</v>
      </c>
      <c r="P163" s="7"/>
      <c r="Q163" s="7">
        <v>12.8135</v>
      </c>
      <c r="R163" s="15"/>
      <c r="S163" s="8"/>
    </row>
    <row r="164" spans="1:19" ht="16.5" customHeight="1" hidden="1">
      <c r="A164" s="3"/>
      <c r="B164" s="5" t="s">
        <v>129</v>
      </c>
      <c r="C164" s="7">
        <v>15.8064</v>
      </c>
      <c r="D164" s="7">
        <v>15.2957</v>
      </c>
      <c r="E164" s="7">
        <v>14.9914</v>
      </c>
      <c r="F164" s="7"/>
      <c r="G164" s="7"/>
      <c r="H164" s="7"/>
      <c r="I164" s="7">
        <v>17.3404</v>
      </c>
      <c r="J164" s="7">
        <v>17.3865</v>
      </c>
      <c r="K164" s="7"/>
      <c r="L164" s="7"/>
      <c r="M164" s="7"/>
      <c r="N164" s="7">
        <v>17.0003</v>
      </c>
      <c r="O164" s="8">
        <v>10.3945</v>
      </c>
      <c r="P164" s="7"/>
      <c r="Q164" s="7">
        <v>12.8135</v>
      </c>
      <c r="R164" s="15"/>
      <c r="S164" s="8"/>
    </row>
    <row r="165" spans="1:19" ht="16.5" customHeight="1" hidden="1">
      <c r="A165" s="3"/>
      <c r="B165" s="5" t="s">
        <v>130</v>
      </c>
      <c r="C165" s="7">
        <v>16.3487</v>
      </c>
      <c r="D165" s="7">
        <v>15.7052</v>
      </c>
      <c r="E165" s="7">
        <v>15.1644</v>
      </c>
      <c r="F165" s="7"/>
      <c r="G165" s="7"/>
      <c r="H165" s="7"/>
      <c r="I165" s="7">
        <v>17.8737</v>
      </c>
      <c r="J165" s="7">
        <v>18.2597</v>
      </c>
      <c r="K165" s="7"/>
      <c r="L165" s="7"/>
      <c r="M165" s="7"/>
      <c r="N165" s="7">
        <v>17.8731</v>
      </c>
      <c r="O165" s="8">
        <v>10.3656</v>
      </c>
      <c r="P165" s="7"/>
      <c r="Q165" s="7">
        <v>12.8229</v>
      </c>
      <c r="R165" s="15"/>
      <c r="S165" s="8"/>
    </row>
    <row r="166" spans="1:19" ht="16.5" customHeight="1" hidden="1">
      <c r="A166" s="3"/>
      <c r="B166" s="5" t="s">
        <v>131</v>
      </c>
      <c r="C166" s="7">
        <v>17.0866</v>
      </c>
      <c r="D166" s="7">
        <v>16.4354</v>
      </c>
      <c r="E166" s="7">
        <v>15.8004</v>
      </c>
      <c r="F166" s="7"/>
      <c r="G166" s="7"/>
      <c r="H166" s="7"/>
      <c r="I166" s="7">
        <v>18.22</v>
      </c>
      <c r="J166" s="7">
        <v>18.8114</v>
      </c>
      <c r="K166" s="7"/>
      <c r="L166" s="7"/>
      <c r="M166" s="7"/>
      <c r="N166" s="7">
        <v>18.4224</v>
      </c>
      <c r="O166" s="8">
        <v>10.3338</v>
      </c>
      <c r="P166" s="7"/>
      <c r="Q166" s="7">
        <v>12.9176</v>
      </c>
      <c r="R166" s="15"/>
      <c r="S166" s="8"/>
    </row>
    <row r="167" spans="1:19" ht="16.5" customHeight="1" hidden="1">
      <c r="A167" s="3"/>
      <c r="B167" s="5" t="s">
        <v>132</v>
      </c>
      <c r="C167" s="7">
        <v>17.0866</v>
      </c>
      <c r="D167" s="7">
        <v>16.4354</v>
      </c>
      <c r="E167" s="7">
        <v>15.8004</v>
      </c>
      <c r="F167" s="7"/>
      <c r="G167" s="7"/>
      <c r="H167" s="7"/>
      <c r="I167" s="7">
        <v>18.22</v>
      </c>
      <c r="J167" s="7">
        <v>18.8114</v>
      </c>
      <c r="K167" s="7"/>
      <c r="L167" s="7"/>
      <c r="M167" s="7"/>
      <c r="N167" s="7">
        <v>18.4224</v>
      </c>
      <c r="O167" s="8">
        <v>10.3338</v>
      </c>
      <c r="P167" s="7"/>
      <c r="Q167" s="7">
        <v>12.9176</v>
      </c>
      <c r="R167" s="15"/>
      <c r="S167" s="8"/>
    </row>
    <row r="168" spans="1:19" ht="16.5" customHeight="1" hidden="1">
      <c r="A168" s="3"/>
      <c r="B168" s="5" t="s">
        <v>133</v>
      </c>
      <c r="C168" s="7">
        <v>17.4992</v>
      </c>
      <c r="D168" s="7">
        <v>16.7155</v>
      </c>
      <c r="E168" s="7">
        <v>16.2115</v>
      </c>
      <c r="F168" s="7"/>
      <c r="G168" s="7"/>
      <c r="H168" s="7"/>
      <c r="I168" s="7">
        <v>18.4152</v>
      </c>
      <c r="J168" s="7">
        <v>18.5868</v>
      </c>
      <c r="K168" s="7"/>
      <c r="L168" s="7"/>
      <c r="M168" s="7"/>
      <c r="N168" s="7">
        <v>18.1975</v>
      </c>
      <c r="O168" s="8">
        <v>11.0102</v>
      </c>
      <c r="P168" s="7"/>
      <c r="Q168" s="7">
        <v>12.9814</v>
      </c>
      <c r="R168" s="15"/>
      <c r="S168" s="8"/>
    </row>
    <row r="169" spans="1:19" ht="16.5" customHeight="1" hidden="1">
      <c r="A169" s="3"/>
      <c r="B169" s="5" t="s">
        <v>18</v>
      </c>
      <c r="C169" s="7">
        <v>17.4992</v>
      </c>
      <c r="D169" s="7">
        <v>16.7155</v>
      </c>
      <c r="E169" s="7">
        <v>16.2115</v>
      </c>
      <c r="F169" s="7"/>
      <c r="G169" s="7"/>
      <c r="H169" s="7"/>
      <c r="I169" s="7">
        <v>18.4152</v>
      </c>
      <c r="J169" s="7">
        <v>18.5868</v>
      </c>
      <c r="K169" s="7"/>
      <c r="L169" s="7"/>
      <c r="M169" s="7"/>
      <c r="N169" s="7">
        <v>18.1975</v>
      </c>
      <c r="O169" s="8">
        <v>11.0102</v>
      </c>
      <c r="P169" s="7"/>
      <c r="Q169" s="7">
        <v>12.9814</v>
      </c>
      <c r="R169" s="15"/>
      <c r="S169" s="8"/>
    </row>
    <row r="170" spans="1:19" ht="16.5" customHeight="1" hidden="1">
      <c r="A170" s="3"/>
      <c r="B170" s="4" t="s">
        <v>13</v>
      </c>
      <c r="C170" s="11">
        <f>(C161*5+C163*3+C164*3+C165*7+C166*3+C167*7+C168*2+C169*1)/30</f>
        <v>16.84328</v>
      </c>
      <c r="D170" s="11">
        <f aca="true" t="shared" si="10" ref="D170:Q170">(D161*5+D163*3+D164*3+D165*7+D166*3+D167*7+D168*2+D169*1)/30</f>
        <v>16.214253333333332</v>
      </c>
      <c r="E170" s="11">
        <f t="shared" si="10"/>
        <v>15.844056666666667</v>
      </c>
      <c r="F170" s="11"/>
      <c r="G170" s="11"/>
      <c r="H170" s="11"/>
      <c r="I170" s="11">
        <f t="shared" si="10"/>
        <v>18.199246666666664</v>
      </c>
      <c r="J170" s="11">
        <f t="shared" si="10"/>
        <v>18.516793333333336</v>
      </c>
      <c r="K170" s="11"/>
      <c r="L170" s="11"/>
      <c r="M170" s="11"/>
      <c r="N170" s="11">
        <f t="shared" si="10"/>
        <v>18.114216666666668</v>
      </c>
      <c r="O170" s="38">
        <f t="shared" si="10"/>
        <v>10.400910000000001</v>
      </c>
      <c r="P170" s="11"/>
      <c r="Q170" s="11">
        <f t="shared" si="10"/>
        <v>13.271516666666667</v>
      </c>
      <c r="R170" s="15"/>
      <c r="S170" s="8"/>
    </row>
    <row r="171" spans="1:19" ht="16.5" customHeight="1" hidden="1">
      <c r="A171" s="3"/>
      <c r="B171" s="5" t="s">
        <v>134</v>
      </c>
      <c r="C171" s="7">
        <v>16.7784</v>
      </c>
      <c r="D171" s="7">
        <v>16.283</v>
      </c>
      <c r="E171" s="7">
        <v>16.386</v>
      </c>
      <c r="F171" s="7"/>
      <c r="G171" s="7"/>
      <c r="H171" s="7"/>
      <c r="I171" s="7">
        <v>18.1754</v>
      </c>
      <c r="J171" s="7">
        <v>19.2194</v>
      </c>
      <c r="K171" s="7"/>
      <c r="L171" s="7"/>
      <c r="M171" s="7"/>
      <c r="N171" s="7">
        <v>18.7578</v>
      </c>
      <c r="O171" s="8">
        <v>8.1458</v>
      </c>
      <c r="P171" s="7"/>
      <c r="Q171" s="7">
        <v>13.0099</v>
      </c>
      <c r="R171" s="15"/>
      <c r="S171" s="8"/>
    </row>
    <row r="172" spans="1:19" ht="16.5" customHeight="1" hidden="1">
      <c r="A172" s="3"/>
      <c r="B172" s="5" t="s">
        <v>135</v>
      </c>
      <c r="C172" s="7">
        <v>17.5606</v>
      </c>
      <c r="D172" s="7">
        <v>16.8963</v>
      </c>
      <c r="E172" s="7">
        <v>17.9241</v>
      </c>
      <c r="F172" s="7"/>
      <c r="G172" s="7"/>
      <c r="H172" s="7"/>
      <c r="I172" s="7">
        <v>19.0757</v>
      </c>
      <c r="J172" s="7">
        <v>19.7059</v>
      </c>
      <c r="K172" s="7"/>
      <c r="L172" s="7"/>
      <c r="M172" s="7"/>
      <c r="N172" s="7">
        <v>19.238</v>
      </c>
      <c r="O172" s="8">
        <v>8.1387</v>
      </c>
      <c r="P172" s="7"/>
      <c r="Q172" s="7">
        <v>13.1402</v>
      </c>
      <c r="R172" s="15"/>
      <c r="S172" s="8"/>
    </row>
    <row r="173" spans="1:19" ht="16.5" customHeight="1" hidden="1">
      <c r="A173" s="3"/>
      <c r="B173" s="5" t="s">
        <v>136</v>
      </c>
      <c r="C173" s="7">
        <v>17.2524</v>
      </c>
      <c r="D173" s="7">
        <v>16.7529</v>
      </c>
      <c r="E173" s="7">
        <v>17.379</v>
      </c>
      <c r="F173" s="7"/>
      <c r="G173" s="7"/>
      <c r="H173" s="7"/>
      <c r="I173" s="7">
        <v>18.7655</v>
      </c>
      <c r="J173" s="7">
        <v>18.6154</v>
      </c>
      <c r="K173" s="7"/>
      <c r="L173" s="7"/>
      <c r="M173" s="7"/>
      <c r="N173" s="7">
        <v>18.1494</v>
      </c>
      <c r="O173" s="8">
        <v>11.4202</v>
      </c>
      <c r="P173" s="7"/>
      <c r="Q173" s="7">
        <v>13.2253</v>
      </c>
      <c r="R173" s="15"/>
      <c r="S173" s="8"/>
    </row>
    <row r="174" spans="1:19" ht="16.5" customHeight="1" hidden="1">
      <c r="A174" s="3"/>
      <c r="B174" s="5" t="s">
        <v>137</v>
      </c>
      <c r="C174" s="7">
        <v>17.5395</v>
      </c>
      <c r="D174" s="7">
        <v>17.0444</v>
      </c>
      <c r="E174" s="7">
        <v>17.6499</v>
      </c>
      <c r="F174" s="7"/>
      <c r="G174" s="7"/>
      <c r="H174" s="7"/>
      <c r="I174" s="7">
        <v>18.0418</v>
      </c>
      <c r="J174" s="7">
        <v>18.206</v>
      </c>
      <c r="K174" s="7"/>
      <c r="L174" s="7"/>
      <c r="M174" s="7"/>
      <c r="N174" s="7">
        <v>17.744</v>
      </c>
      <c r="O174" s="8">
        <v>11.4178</v>
      </c>
      <c r="P174" s="7"/>
      <c r="Q174" s="7">
        <v>13.2275</v>
      </c>
      <c r="R174" s="15"/>
      <c r="S174" s="8"/>
    </row>
    <row r="175" spans="1:19" ht="16.5" customHeight="1" hidden="1">
      <c r="A175" s="3"/>
      <c r="B175" s="4" t="s">
        <v>13</v>
      </c>
      <c r="C175" s="11">
        <f>(C169*3+C171*7+C172*7+C173*7+C174*7)/31</f>
        <v>17.30367419354839</v>
      </c>
      <c r="D175" s="11">
        <f aca="true" t="shared" si="11" ref="D175:Q175">(D169*3+D171*7+D172*7+D173*7+D174*7)/31</f>
        <v>16.74137741935484</v>
      </c>
      <c r="E175" s="11">
        <f t="shared" si="11"/>
        <v>17.226048387096775</v>
      </c>
      <c r="F175" s="11"/>
      <c r="G175" s="11"/>
      <c r="H175" s="11"/>
      <c r="I175" s="11">
        <f t="shared" si="11"/>
        <v>18.504980645161286</v>
      </c>
      <c r="J175" s="11">
        <f t="shared" si="11"/>
        <v>18.902816129032256</v>
      </c>
      <c r="K175" s="11"/>
      <c r="L175" s="11"/>
      <c r="M175" s="11"/>
      <c r="N175" s="11">
        <f t="shared" si="11"/>
        <v>18.4457064516129</v>
      </c>
      <c r="O175" s="38">
        <f t="shared" si="11"/>
        <v>9.899616129032259</v>
      </c>
      <c r="P175" s="11"/>
      <c r="Q175" s="11">
        <f t="shared" si="11"/>
        <v>13.134338709677419</v>
      </c>
      <c r="R175" s="15"/>
      <c r="S175" s="8"/>
    </row>
    <row r="176" spans="1:19" ht="16.5" customHeight="1" hidden="1">
      <c r="A176" s="3"/>
      <c r="B176" s="5" t="s">
        <v>138</v>
      </c>
      <c r="C176" s="7">
        <v>18.3087</v>
      </c>
      <c r="D176" s="7">
        <v>17.8142</v>
      </c>
      <c r="E176" s="7">
        <v>18.1325</v>
      </c>
      <c r="F176" s="7"/>
      <c r="G176" s="7"/>
      <c r="H176" s="7"/>
      <c r="I176" s="7">
        <v>19.0292</v>
      </c>
      <c r="J176" s="7">
        <v>18.2468</v>
      </c>
      <c r="K176" s="7"/>
      <c r="L176" s="7"/>
      <c r="M176" s="7"/>
      <c r="N176" s="7">
        <v>16.8475</v>
      </c>
      <c r="O176" s="8">
        <v>10.8436</v>
      </c>
      <c r="P176" s="7"/>
      <c r="Q176" s="7">
        <v>13.1311</v>
      </c>
      <c r="R176" s="15"/>
      <c r="S176" s="8"/>
    </row>
    <row r="177" spans="1:19" ht="16.5" customHeight="1" hidden="1">
      <c r="A177" s="3"/>
      <c r="B177" s="5" t="s">
        <v>139</v>
      </c>
      <c r="C177" s="7">
        <v>19.0936</v>
      </c>
      <c r="D177" s="7">
        <v>18.6028</v>
      </c>
      <c r="E177" s="7">
        <v>18.8228</v>
      </c>
      <c r="F177" s="7"/>
      <c r="G177" s="7"/>
      <c r="H177" s="7"/>
      <c r="I177" s="7">
        <v>19.6384</v>
      </c>
      <c r="J177" s="7">
        <v>19.1067</v>
      </c>
      <c r="K177" s="7"/>
      <c r="L177" s="7"/>
      <c r="M177" s="7"/>
      <c r="N177" s="7">
        <v>18.6499</v>
      </c>
      <c r="O177" s="8">
        <v>11.512</v>
      </c>
      <c r="P177" s="7"/>
      <c r="Q177" s="7">
        <v>13.0472</v>
      </c>
      <c r="R177" s="15"/>
      <c r="S177" s="8"/>
    </row>
    <row r="178" spans="1:19" ht="16.5" customHeight="1" hidden="1">
      <c r="A178" s="3"/>
      <c r="B178" s="5" t="s">
        <v>140</v>
      </c>
      <c r="C178" s="7">
        <v>19.1088</v>
      </c>
      <c r="D178" s="7">
        <v>18.6156</v>
      </c>
      <c r="E178" s="7">
        <v>19.0153</v>
      </c>
      <c r="F178" s="7"/>
      <c r="G178" s="7"/>
      <c r="H178" s="7"/>
      <c r="I178" s="7">
        <v>20.2699</v>
      </c>
      <c r="J178" s="7">
        <v>18.9457</v>
      </c>
      <c r="K178" s="7"/>
      <c r="L178" s="7"/>
      <c r="M178" s="7"/>
      <c r="N178" s="7">
        <v>18.4864</v>
      </c>
      <c r="O178" s="8">
        <v>11.8746</v>
      </c>
      <c r="P178" s="7"/>
      <c r="Q178" s="7">
        <v>12.9724</v>
      </c>
      <c r="R178" s="15"/>
      <c r="S178" s="8"/>
    </row>
    <row r="179" spans="1:19" ht="16.5" customHeight="1" hidden="1">
      <c r="A179" s="3"/>
      <c r="B179" s="5" t="s">
        <v>141</v>
      </c>
      <c r="C179" s="7">
        <v>19.9916</v>
      </c>
      <c r="D179" s="7">
        <v>19.4995</v>
      </c>
      <c r="E179" s="7">
        <v>19.4247</v>
      </c>
      <c r="F179" s="7"/>
      <c r="G179" s="7"/>
      <c r="H179" s="7"/>
      <c r="I179" s="7">
        <v>20.3066</v>
      </c>
      <c r="J179" s="7">
        <v>19.1466</v>
      </c>
      <c r="K179" s="7"/>
      <c r="L179" s="7"/>
      <c r="M179" s="7"/>
      <c r="N179" s="7">
        <v>18.6888</v>
      </c>
      <c r="O179" s="8">
        <v>12.1548</v>
      </c>
      <c r="P179" s="7"/>
      <c r="Q179" s="7">
        <v>12.9916</v>
      </c>
      <c r="R179" s="15"/>
      <c r="S179" s="8"/>
    </row>
    <row r="180" spans="1:19" ht="16.5" customHeight="1" hidden="1">
      <c r="A180" s="3"/>
      <c r="B180" s="5" t="s">
        <v>142</v>
      </c>
      <c r="C180" s="7">
        <v>22.6509</v>
      </c>
      <c r="D180" s="7">
        <v>22.153</v>
      </c>
      <c r="E180" s="7">
        <v>21.5898</v>
      </c>
      <c r="F180" s="7"/>
      <c r="G180" s="7"/>
      <c r="H180" s="7"/>
      <c r="I180" s="7">
        <v>21.3105</v>
      </c>
      <c r="J180" s="7">
        <v>20.5887</v>
      </c>
      <c r="K180" s="7"/>
      <c r="L180" s="7"/>
      <c r="M180" s="7"/>
      <c r="N180" s="7">
        <v>20.139</v>
      </c>
      <c r="O180" s="8">
        <v>12.9511</v>
      </c>
      <c r="P180" s="7"/>
      <c r="Q180" s="7">
        <v>12.9813</v>
      </c>
      <c r="R180" s="15"/>
      <c r="S180" s="8"/>
    </row>
    <row r="181" spans="1:19" ht="16.5" customHeight="1" hidden="1">
      <c r="A181" s="3"/>
      <c r="B181" s="4" t="s">
        <v>13</v>
      </c>
      <c r="C181" s="11">
        <f>(C176*7+C177*7+C178*7+C179*7+C180*3)/31</f>
        <v>19.466825806451617</v>
      </c>
      <c r="D181" s="11">
        <f aca="true" t="shared" si="12" ref="D181:Q181">(D176*7+D177*7+D178*7+D179*7+D180*3)/31</f>
        <v>18.973667741935486</v>
      </c>
      <c r="E181" s="11">
        <f t="shared" si="12"/>
        <v>19.11408064516129</v>
      </c>
      <c r="F181" s="11"/>
      <c r="G181" s="11"/>
      <c r="H181" s="11"/>
      <c r="I181" s="11">
        <f t="shared" si="12"/>
        <v>19.95613548387097</v>
      </c>
      <c r="J181" s="11">
        <f t="shared" si="12"/>
        <v>19.028603225806453</v>
      </c>
      <c r="K181" s="11"/>
      <c r="L181" s="11"/>
      <c r="M181" s="11"/>
      <c r="N181" s="11">
        <f t="shared" si="12"/>
        <v>18.358877419354837</v>
      </c>
      <c r="O181" s="38">
        <f t="shared" si="12"/>
        <v>11.727364516129033</v>
      </c>
      <c r="P181" s="11"/>
      <c r="Q181" s="11">
        <f t="shared" si="12"/>
        <v>13.030322580645159</v>
      </c>
      <c r="R181" s="15"/>
      <c r="S181" s="8"/>
    </row>
    <row r="182" spans="1:19" ht="16.5" customHeight="1" hidden="1">
      <c r="A182" s="3"/>
      <c r="B182" s="5" t="s">
        <v>143</v>
      </c>
      <c r="C182" s="7">
        <v>21.8817</v>
      </c>
      <c r="D182" s="7">
        <v>21.1991</v>
      </c>
      <c r="E182" s="7">
        <v>21.9736</v>
      </c>
      <c r="F182" s="7"/>
      <c r="G182" s="7"/>
      <c r="H182" s="7"/>
      <c r="I182" s="7">
        <v>20.6823</v>
      </c>
      <c r="J182" s="7">
        <v>20.0688</v>
      </c>
      <c r="K182" s="7"/>
      <c r="L182" s="7"/>
      <c r="M182" s="7"/>
      <c r="N182" s="7">
        <v>19.6594</v>
      </c>
      <c r="O182" s="8">
        <v>13.1794</v>
      </c>
      <c r="P182" s="7"/>
      <c r="Q182" s="7">
        <v>13.015</v>
      </c>
      <c r="R182" s="15"/>
      <c r="S182" s="8"/>
    </row>
    <row r="183" spans="1:19" ht="16.5" customHeight="1" hidden="1">
      <c r="A183" s="3"/>
      <c r="B183" s="5" t="s">
        <v>144</v>
      </c>
      <c r="C183" s="7">
        <v>20.4831</v>
      </c>
      <c r="D183" s="7">
        <v>19.8518</v>
      </c>
      <c r="E183" s="7">
        <v>20.4716</v>
      </c>
      <c r="F183" s="7"/>
      <c r="G183" s="7"/>
      <c r="H183" s="7"/>
      <c r="I183" s="7">
        <v>20.1747</v>
      </c>
      <c r="J183" s="7">
        <v>19.6426</v>
      </c>
      <c r="K183" s="7"/>
      <c r="L183" s="7"/>
      <c r="M183" s="7"/>
      <c r="N183" s="7">
        <v>19.199</v>
      </c>
      <c r="O183" s="8">
        <v>12.8492</v>
      </c>
      <c r="P183" s="7"/>
      <c r="Q183" s="7">
        <v>12.9508</v>
      </c>
      <c r="R183" s="15"/>
      <c r="S183" s="8"/>
    </row>
    <row r="184" spans="1:19" ht="16.5" customHeight="1" hidden="1">
      <c r="A184" s="3"/>
      <c r="B184" s="5" t="s">
        <v>145</v>
      </c>
      <c r="C184" s="7">
        <v>19.9643</v>
      </c>
      <c r="D184" s="7">
        <v>19.6055</v>
      </c>
      <c r="E184" s="7">
        <v>20.1977</v>
      </c>
      <c r="F184" s="7"/>
      <c r="G184" s="7"/>
      <c r="H184" s="7"/>
      <c r="I184" s="7">
        <v>20.6061</v>
      </c>
      <c r="J184" s="7">
        <v>20.1533</v>
      </c>
      <c r="K184" s="7"/>
      <c r="L184" s="7"/>
      <c r="M184" s="7"/>
      <c r="N184" s="7">
        <v>19.7095</v>
      </c>
      <c r="O184" s="8">
        <v>13.0923</v>
      </c>
      <c r="P184" s="7"/>
      <c r="Q184" s="7">
        <v>12.9278</v>
      </c>
      <c r="R184" s="15"/>
      <c r="S184" s="8"/>
    </row>
    <row r="185" spans="1:19" ht="16.5" customHeight="1" hidden="1">
      <c r="A185" s="3"/>
      <c r="B185" s="5" t="s">
        <v>146</v>
      </c>
      <c r="C185" s="7">
        <v>19.8592</v>
      </c>
      <c r="D185" s="7">
        <v>19.3676</v>
      </c>
      <c r="E185" s="7">
        <v>19.9356</v>
      </c>
      <c r="F185" s="7"/>
      <c r="G185" s="7"/>
      <c r="H185" s="7"/>
      <c r="I185" s="7">
        <v>21.5356</v>
      </c>
      <c r="J185" s="7">
        <v>20.6979</v>
      </c>
      <c r="K185" s="7"/>
      <c r="L185" s="7"/>
      <c r="M185" s="7"/>
      <c r="N185" s="7">
        <v>20.2534</v>
      </c>
      <c r="O185" s="8">
        <v>12.9521</v>
      </c>
      <c r="P185" s="7"/>
      <c r="Q185" s="7">
        <v>12.968</v>
      </c>
      <c r="R185" s="15"/>
      <c r="S185" s="8"/>
    </row>
    <row r="186" spans="1:19" ht="16.5" customHeight="1" hidden="1">
      <c r="A186" s="3"/>
      <c r="B186" s="4" t="s">
        <v>13</v>
      </c>
      <c r="C186" s="11">
        <f aca="true" t="shared" si="13" ref="C186:Q186">(C180*4+C182*7+C183*7+C184*7+C185*5)/30</f>
        <v>20.873443333333334</v>
      </c>
      <c r="D186" s="11">
        <f t="shared" si="13"/>
        <v>20.334826666666665</v>
      </c>
      <c r="E186" s="11">
        <f t="shared" si="13"/>
        <v>20.81791666666667</v>
      </c>
      <c r="F186" s="11"/>
      <c r="G186" s="11"/>
      <c r="H186" s="11"/>
      <c r="I186" s="11">
        <f t="shared" si="13"/>
        <v>20.772056666666668</v>
      </c>
      <c r="J186" s="11">
        <f t="shared" si="13"/>
        <v>20.16324</v>
      </c>
      <c r="K186" s="11"/>
      <c r="L186" s="11"/>
      <c r="M186" s="11"/>
      <c r="N186" s="11">
        <f t="shared" si="13"/>
        <v>19.726609999999997</v>
      </c>
      <c r="O186" s="38">
        <f t="shared" si="13"/>
        <v>13.013706666666668</v>
      </c>
      <c r="P186" s="11"/>
      <c r="Q186" s="11">
        <f t="shared" si="13"/>
        <v>12.967346666666666</v>
      </c>
      <c r="R186" s="15"/>
      <c r="S186" s="8"/>
    </row>
    <row r="187" spans="1:19" ht="16.5" customHeight="1" hidden="1">
      <c r="A187" s="3"/>
      <c r="B187" s="5" t="s">
        <v>147</v>
      </c>
      <c r="C187" s="7">
        <v>18.9836</v>
      </c>
      <c r="D187" s="7">
        <v>18.4803</v>
      </c>
      <c r="E187" s="7">
        <v>19.4389</v>
      </c>
      <c r="F187" s="7"/>
      <c r="G187" s="7"/>
      <c r="H187" s="7"/>
      <c r="I187" s="7">
        <v>20.9659</v>
      </c>
      <c r="J187" s="7">
        <v>20.1662</v>
      </c>
      <c r="K187" s="7"/>
      <c r="L187" s="7"/>
      <c r="M187" s="7"/>
      <c r="N187" s="7">
        <v>19.7436</v>
      </c>
      <c r="O187" s="8">
        <v>12.4172</v>
      </c>
      <c r="P187" s="7"/>
      <c r="Q187" s="7">
        <v>12.9978</v>
      </c>
      <c r="R187" s="15"/>
      <c r="S187" s="8"/>
    </row>
    <row r="188" spans="1:19" ht="16.5" customHeight="1" hidden="1">
      <c r="A188" s="3"/>
      <c r="B188" s="5" t="s">
        <v>148</v>
      </c>
      <c r="C188" s="7">
        <v>18.8827</v>
      </c>
      <c r="D188" s="7">
        <v>18.3805</v>
      </c>
      <c r="E188" s="7">
        <v>19.0177</v>
      </c>
      <c r="F188" s="7"/>
      <c r="G188" s="7"/>
      <c r="H188" s="7"/>
      <c r="I188" s="7">
        <v>20.364</v>
      </c>
      <c r="J188" s="7">
        <v>19.8315</v>
      </c>
      <c r="K188" s="7"/>
      <c r="L188" s="7"/>
      <c r="M188" s="7"/>
      <c r="N188" s="7">
        <v>19.4095</v>
      </c>
      <c r="O188" s="8">
        <v>12.6523</v>
      </c>
      <c r="P188" s="7"/>
      <c r="Q188" s="7">
        <v>12.9561</v>
      </c>
      <c r="R188" s="15"/>
      <c r="S188" s="8"/>
    </row>
    <row r="189" spans="1:19" ht="16.5" customHeight="1" hidden="1">
      <c r="A189" s="3"/>
      <c r="B189" s="5" t="s">
        <v>149</v>
      </c>
      <c r="C189" s="7">
        <v>17.206</v>
      </c>
      <c r="D189" s="7">
        <v>16.7304</v>
      </c>
      <c r="E189" s="7">
        <v>17.7171</v>
      </c>
      <c r="F189" s="7"/>
      <c r="G189" s="7"/>
      <c r="H189" s="7"/>
      <c r="I189" s="7">
        <v>18.2043</v>
      </c>
      <c r="J189" s="7">
        <v>18.0261</v>
      </c>
      <c r="K189" s="7"/>
      <c r="L189" s="7"/>
      <c r="M189" s="7"/>
      <c r="N189" s="7">
        <v>17.7948</v>
      </c>
      <c r="O189" s="8">
        <v>12.397</v>
      </c>
      <c r="P189" s="7"/>
      <c r="Q189" s="7">
        <v>12.9192</v>
      </c>
      <c r="R189" s="15"/>
      <c r="S189" s="8"/>
    </row>
    <row r="190" spans="1:19" ht="16.5" customHeight="1" hidden="1">
      <c r="A190" s="3"/>
      <c r="B190" s="5" t="s">
        <v>150</v>
      </c>
      <c r="C190" s="7">
        <v>16.9884</v>
      </c>
      <c r="D190" s="7">
        <v>16.4932</v>
      </c>
      <c r="E190" s="7">
        <v>17.435</v>
      </c>
      <c r="F190" s="7"/>
      <c r="G190" s="7"/>
      <c r="H190" s="7"/>
      <c r="I190" s="7">
        <v>18.424</v>
      </c>
      <c r="J190" s="7">
        <v>18.1243</v>
      </c>
      <c r="K190" s="7"/>
      <c r="L190" s="7"/>
      <c r="M190" s="7"/>
      <c r="N190" s="7">
        <v>18.0621</v>
      </c>
      <c r="O190" s="8">
        <v>12.4507</v>
      </c>
      <c r="P190" s="7"/>
      <c r="Q190" s="7">
        <v>12.9067</v>
      </c>
      <c r="R190" s="15"/>
      <c r="S190" s="8"/>
    </row>
    <row r="191" spans="1:19" ht="16.5" customHeight="1" hidden="1">
      <c r="A191" s="3"/>
      <c r="B191" s="5" t="s">
        <v>151</v>
      </c>
      <c r="C191" s="7">
        <v>16.8016</v>
      </c>
      <c r="D191" s="7">
        <v>16.3006</v>
      </c>
      <c r="E191" s="7">
        <v>17.2472</v>
      </c>
      <c r="F191" s="7"/>
      <c r="G191" s="7"/>
      <c r="H191" s="7"/>
      <c r="I191" s="7">
        <v>17.1255</v>
      </c>
      <c r="J191" s="7">
        <v>17.1619</v>
      </c>
      <c r="K191" s="7"/>
      <c r="L191" s="7"/>
      <c r="M191" s="7"/>
      <c r="N191" s="7">
        <v>16.9802</v>
      </c>
      <c r="O191" s="8">
        <v>12.3279</v>
      </c>
      <c r="P191" s="7"/>
      <c r="Q191" s="7">
        <v>12.8898</v>
      </c>
      <c r="R191" s="15"/>
      <c r="S191" s="8"/>
    </row>
    <row r="192" spans="1:19" ht="16.5" customHeight="1" hidden="1">
      <c r="A192" s="3"/>
      <c r="B192" s="4" t="s">
        <v>13</v>
      </c>
      <c r="C192" s="11">
        <f>(C185*2+C187*7+C188*7+C189*7+C190*5+C191*3)/31</f>
        <v>18.082945161290326</v>
      </c>
      <c r="D192" s="11">
        <f aca="true" t="shared" si="14" ref="D192:O192">(D185*2+D187*7+D188*7+D189*7+D190*5+D191*3)/31</f>
        <v>17.588432258064515</v>
      </c>
      <c r="E192" s="11">
        <f t="shared" si="14"/>
        <v>18.451732258064517</v>
      </c>
      <c r="F192" s="11"/>
      <c r="G192" s="11"/>
      <c r="H192" s="11"/>
      <c r="I192" s="11">
        <f t="shared" si="14"/>
        <v>19.461519354838707</v>
      </c>
      <c r="J192" s="11">
        <f t="shared" si="14"/>
        <v>19.0216</v>
      </c>
      <c r="K192" s="11"/>
      <c r="L192" s="11"/>
      <c r="M192" s="11"/>
      <c r="N192" s="11">
        <f t="shared" si="14"/>
        <v>18.72236129032258</v>
      </c>
      <c r="O192" s="38">
        <f t="shared" si="14"/>
        <v>12.49699677419355</v>
      </c>
      <c r="P192" s="11"/>
      <c r="Q192" s="11">
        <f>(Q185*2+Q187*7+Q188*7+Q189*7+Q190*5+Q191*3)/31</f>
        <v>12.943567741935485</v>
      </c>
      <c r="R192" s="15"/>
      <c r="S192" s="8"/>
    </row>
    <row r="193" spans="1:19" ht="16.5" customHeight="1" hidden="1">
      <c r="A193" s="3"/>
      <c r="B193" s="5" t="s">
        <v>152</v>
      </c>
      <c r="C193" s="7">
        <v>16.6711</v>
      </c>
      <c r="D193" s="7">
        <v>16.1689</v>
      </c>
      <c r="E193" s="7">
        <v>17.3239</v>
      </c>
      <c r="F193" s="7"/>
      <c r="G193" s="7"/>
      <c r="H193" s="7"/>
      <c r="I193" s="7">
        <v>17.1868</v>
      </c>
      <c r="J193" s="7">
        <v>16.6468</v>
      </c>
      <c r="K193" s="7"/>
      <c r="L193" s="7"/>
      <c r="M193" s="7"/>
      <c r="N193" s="7">
        <v>16.1607</v>
      </c>
      <c r="O193" s="8">
        <v>12.1566</v>
      </c>
      <c r="P193" s="7"/>
      <c r="Q193" s="7">
        <v>12.8908</v>
      </c>
      <c r="R193" s="15"/>
      <c r="S193" s="8"/>
    </row>
    <row r="194" spans="1:19" ht="16.5" customHeight="1" hidden="1">
      <c r="A194" s="3"/>
      <c r="B194" s="5" t="s">
        <v>153</v>
      </c>
      <c r="C194" s="7">
        <v>16.2635</v>
      </c>
      <c r="D194" s="7">
        <v>15.7608</v>
      </c>
      <c r="E194" s="7">
        <v>16.7544</v>
      </c>
      <c r="F194" s="7"/>
      <c r="G194" s="7"/>
      <c r="H194" s="7"/>
      <c r="I194" s="7">
        <v>17.4968</v>
      </c>
      <c r="J194" s="7">
        <v>16.9327</v>
      </c>
      <c r="K194" s="7"/>
      <c r="L194" s="7"/>
      <c r="M194" s="7"/>
      <c r="N194" s="7">
        <v>16.4513</v>
      </c>
      <c r="O194" s="8">
        <v>11.756</v>
      </c>
      <c r="P194" s="7"/>
      <c r="Q194" s="7">
        <v>12.9897</v>
      </c>
      <c r="R194" s="15"/>
      <c r="S194" s="8"/>
    </row>
    <row r="195" spans="1:19" ht="16.5" customHeight="1" hidden="1">
      <c r="A195" s="3"/>
      <c r="B195" s="5" t="s">
        <v>154</v>
      </c>
      <c r="C195" s="7">
        <v>15.9598</v>
      </c>
      <c r="D195" s="7">
        <v>15.4569</v>
      </c>
      <c r="E195" s="7">
        <v>16.6272</v>
      </c>
      <c r="F195" s="7"/>
      <c r="G195" s="7"/>
      <c r="H195" s="7"/>
      <c r="I195" s="7">
        <v>17.0697</v>
      </c>
      <c r="J195" s="7">
        <v>16.7956</v>
      </c>
      <c r="K195" s="7"/>
      <c r="L195" s="7"/>
      <c r="M195" s="7"/>
      <c r="N195" s="7">
        <v>16.3087</v>
      </c>
      <c r="O195" s="8">
        <v>11.7673</v>
      </c>
      <c r="P195" s="7"/>
      <c r="Q195" s="7">
        <v>13.0014</v>
      </c>
      <c r="R195" s="15"/>
      <c r="S195" s="8"/>
    </row>
    <row r="196" spans="1:19" ht="16.5" customHeight="1" hidden="1">
      <c r="A196" s="3"/>
      <c r="B196" s="5" t="s">
        <v>155</v>
      </c>
      <c r="C196" s="7">
        <v>15.576</v>
      </c>
      <c r="D196" s="7">
        <v>15.0693</v>
      </c>
      <c r="E196" s="7">
        <v>16.0478</v>
      </c>
      <c r="F196" s="7"/>
      <c r="G196" s="7"/>
      <c r="H196" s="7"/>
      <c r="I196" s="7">
        <v>16.8727</v>
      </c>
      <c r="J196" s="7">
        <v>16.4842</v>
      </c>
      <c r="K196" s="7"/>
      <c r="L196" s="7"/>
      <c r="M196" s="7"/>
      <c r="N196" s="7">
        <v>15.955</v>
      </c>
      <c r="O196" s="8">
        <v>11.7411</v>
      </c>
      <c r="P196" s="7"/>
      <c r="Q196" s="7">
        <v>13.0098</v>
      </c>
      <c r="R196" s="15"/>
      <c r="S196" s="8"/>
    </row>
    <row r="197" spans="1:19" ht="16.5" customHeight="1" hidden="1">
      <c r="A197" s="3"/>
      <c r="B197" s="4" t="s">
        <v>13</v>
      </c>
      <c r="C197" s="11">
        <f>(C191*6+C193*7+C194*7+C195*7+C196*3)/30</f>
        <v>16.326613333333334</v>
      </c>
      <c r="D197" s="11">
        <f aca="true" t="shared" si="15" ref="D197:Q197">(D191*6+D193*7+D194*7+D195*7+D196*3)/30</f>
        <v>15.823923333333331</v>
      </c>
      <c r="E197" s="11">
        <f t="shared" si="15"/>
        <v>16.885503333333332</v>
      </c>
      <c r="F197" s="11"/>
      <c r="G197" s="11"/>
      <c r="H197" s="11"/>
      <c r="I197" s="11">
        <f t="shared" si="15"/>
        <v>17.188139999999997</v>
      </c>
      <c r="J197" s="11">
        <f t="shared" si="15"/>
        <v>16.834989999999998</v>
      </c>
      <c r="K197" s="11"/>
      <c r="L197" s="11"/>
      <c r="M197" s="11"/>
      <c r="N197" s="11">
        <f t="shared" si="15"/>
        <v>16.406370000000003</v>
      </c>
      <c r="O197" s="38">
        <f t="shared" si="15"/>
        <v>11.965</v>
      </c>
      <c r="P197" s="11"/>
      <c r="Q197" s="11">
        <f t="shared" si="15"/>
        <v>12.951383333333332</v>
      </c>
      <c r="R197" s="15"/>
      <c r="S197" s="8"/>
    </row>
    <row r="198" spans="1:19" ht="16.5" customHeight="1" hidden="1">
      <c r="A198" s="3"/>
      <c r="B198" s="5" t="s">
        <v>156</v>
      </c>
      <c r="C198" s="7">
        <v>16.36832857142857</v>
      </c>
      <c r="D198" s="7">
        <v>15.809949999999997</v>
      </c>
      <c r="E198" s="7">
        <v>16.643949999999997</v>
      </c>
      <c r="F198" s="7"/>
      <c r="G198" s="7"/>
      <c r="H198" s="7"/>
      <c r="I198" s="7">
        <v>18.11384285714286</v>
      </c>
      <c r="J198" s="7">
        <v>16.967757142857145</v>
      </c>
      <c r="K198" s="7"/>
      <c r="L198" s="7"/>
      <c r="M198" s="7"/>
      <c r="N198" s="7">
        <v>16.41841428571428</v>
      </c>
      <c r="O198" s="8">
        <v>12.160457142857144</v>
      </c>
      <c r="P198" s="7"/>
      <c r="Q198" s="7">
        <v>13.0277</v>
      </c>
      <c r="R198" s="15"/>
      <c r="S198" s="8"/>
    </row>
    <row r="199" spans="1:19" ht="16.5" customHeight="1" hidden="1">
      <c r="A199" s="3"/>
      <c r="B199" s="5" t="s">
        <v>157</v>
      </c>
      <c r="C199" s="7">
        <v>16.785485714285716</v>
      </c>
      <c r="D199" s="7">
        <v>16.2766125</v>
      </c>
      <c r="E199" s="7">
        <v>17.284993749999998</v>
      </c>
      <c r="F199" s="7"/>
      <c r="G199" s="7"/>
      <c r="H199" s="7"/>
      <c r="I199" s="7">
        <v>18.980442857142858</v>
      </c>
      <c r="J199" s="7">
        <v>17.571485714285718</v>
      </c>
      <c r="K199" s="7"/>
      <c r="L199" s="7"/>
      <c r="M199" s="7"/>
      <c r="N199" s="7">
        <v>17.015928571428567</v>
      </c>
      <c r="O199" s="8">
        <v>11.623657142857143</v>
      </c>
      <c r="P199" s="7"/>
      <c r="Q199" s="7">
        <v>13.0427</v>
      </c>
      <c r="R199" s="15"/>
      <c r="S199" s="8"/>
    </row>
    <row r="200" spans="1:19" ht="16.5" customHeight="1" hidden="1">
      <c r="A200" s="3"/>
      <c r="B200" s="5" t="s">
        <v>158</v>
      </c>
      <c r="C200" s="7">
        <v>16.198114285714286</v>
      </c>
      <c r="D200" s="7">
        <v>15.7284875</v>
      </c>
      <c r="E200" s="7">
        <v>16.78542</v>
      </c>
      <c r="F200" s="7"/>
      <c r="G200" s="7"/>
      <c r="H200" s="7"/>
      <c r="I200" s="7">
        <v>19.03288571428572</v>
      </c>
      <c r="J200" s="7">
        <v>17.686714285714285</v>
      </c>
      <c r="K200" s="7"/>
      <c r="L200" s="7"/>
      <c r="M200" s="7"/>
      <c r="N200" s="7">
        <v>17.132557142857145</v>
      </c>
      <c r="O200" s="8">
        <v>11.427871428571427</v>
      </c>
      <c r="P200" s="7"/>
      <c r="Q200" s="7">
        <v>12.9576</v>
      </c>
      <c r="R200" s="15"/>
      <c r="S200" s="8"/>
    </row>
    <row r="201" spans="1:19" ht="16.5" customHeight="1" hidden="1">
      <c r="A201" s="3"/>
      <c r="B201" s="5" t="s">
        <v>159</v>
      </c>
      <c r="C201" s="7">
        <v>16.5525</v>
      </c>
      <c r="D201" s="7">
        <v>16.584829411764705</v>
      </c>
      <c r="E201" s="7">
        <v>17.36266</v>
      </c>
      <c r="F201" s="7"/>
      <c r="G201" s="7"/>
      <c r="H201" s="7"/>
      <c r="I201" s="7">
        <v>18.883557142857143</v>
      </c>
      <c r="J201" s="7">
        <v>18.2084625</v>
      </c>
      <c r="K201" s="7"/>
      <c r="L201" s="7"/>
      <c r="M201" s="7"/>
      <c r="N201" s="7">
        <v>17.2999</v>
      </c>
      <c r="O201" s="8">
        <v>11.516357142857144</v>
      </c>
      <c r="P201" s="7"/>
      <c r="Q201" s="7">
        <v>12.9266</v>
      </c>
      <c r="R201" s="15"/>
      <c r="S201" s="8"/>
    </row>
    <row r="202" spans="1:19" ht="16.5" customHeight="1" hidden="1">
      <c r="A202" s="3"/>
      <c r="B202" s="4" t="s">
        <v>13</v>
      </c>
      <c r="C202" s="11">
        <f>(C196*4+C198*7+C199*7+C200*7+C201*6)/31</f>
        <v>16.357499999999998</v>
      </c>
      <c r="D202" s="11">
        <f aca="true" t="shared" si="16" ref="D202:Q202">(D196*4+D198*7+D199*7+D200*7+D201*6)/31</f>
        <v>15.95133956356736</v>
      </c>
      <c r="E202" s="11">
        <f t="shared" si="16"/>
        <v>16.882829233870968</v>
      </c>
      <c r="F202" s="11"/>
      <c r="G202" s="11"/>
      <c r="H202" s="11"/>
      <c r="I202" s="11">
        <f t="shared" si="16"/>
        <v>18.505882027649772</v>
      </c>
      <c r="J202" s="11">
        <f t="shared" si="16"/>
        <v>17.444170161290323</v>
      </c>
      <c r="K202" s="11"/>
      <c r="L202" s="11"/>
      <c r="M202" s="11"/>
      <c r="N202" s="11">
        <f t="shared" si="16"/>
        <v>16.82540967741935</v>
      </c>
      <c r="O202" s="38">
        <f t="shared" si="16"/>
        <v>11.695046543778803</v>
      </c>
      <c r="P202" s="11"/>
      <c r="Q202" s="11">
        <f t="shared" si="16"/>
        <v>12.99338064516129</v>
      </c>
      <c r="R202" s="15"/>
      <c r="S202" s="8"/>
    </row>
    <row r="203" spans="1:19" ht="16.5" customHeight="1" hidden="1">
      <c r="A203" s="3"/>
      <c r="B203" s="6">
        <v>2006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  <c r="P203" s="7"/>
      <c r="Q203" s="7"/>
      <c r="R203" s="15"/>
      <c r="S203" s="8"/>
    </row>
    <row r="204" spans="1:19" ht="16.5" customHeight="1" hidden="1">
      <c r="A204" s="3"/>
      <c r="B204" s="5" t="s">
        <v>160</v>
      </c>
      <c r="C204" s="7">
        <v>17.52745714285714</v>
      </c>
      <c r="D204" s="7">
        <v>17.026585714285712</v>
      </c>
      <c r="E204" s="7">
        <v>17.726597500000004</v>
      </c>
      <c r="F204" s="7"/>
      <c r="G204" s="7"/>
      <c r="H204" s="7"/>
      <c r="I204" s="7">
        <v>19.598183096591928</v>
      </c>
      <c r="J204" s="7">
        <v>18.36212857142857</v>
      </c>
      <c r="K204" s="7"/>
      <c r="L204" s="7"/>
      <c r="M204" s="7"/>
      <c r="N204" s="7">
        <v>17.828442857142857</v>
      </c>
      <c r="O204" s="8">
        <v>12.314005775154557</v>
      </c>
      <c r="P204" s="7"/>
      <c r="Q204" s="7">
        <v>12.9408</v>
      </c>
      <c r="R204" s="15"/>
      <c r="S204" s="8"/>
    </row>
    <row r="205" spans="1:19" ht="16.5" customHeight="1" hidden="1">
      <c r="A205" s="3"/>
      <c r="B205" s="5" t="s">
        <v>161</v>
      </c>
      <c r="C205" s="7">
        <v>16.86902857142857</v>
      </c>
      <c r="D205" s="7">
        <v>16.378214285714286</v>
      </c>
      <c r="E205" s="7">
        <v>17.166125714285716</v>
      </c>
      <c r="F205" s="7"/>
      <c r="G205" s="7"/>
      <c r="H205" s="7"/>
      <c r="I205" s="7">
        <v>19.2754390357071</v>
      </c>
      <c r="J205" s="7">
        <v>17.793742857142856</v>
      </c>
      <c r="K205" s="7"/>
      <c r="L205" s="7"/>
      <c r="M205" s="7"/>
      <c r="N205" s="7">
        <v>17.270485714285716</v>
      </c>
      <c r="O205" s="8">
        <v>12.351101605633792</v>
      </c>
      <c r="P205" s="7"/>
      <c r="Q205" s="7">
        <v>12.793</v>
      </c>
      <c r="R205" s="15"/>
      <c r="S205" s="8"/>
    </row>
    <row r="206" spans="1:19" ht="16.5" customHeight="1" hidden="1">
      <c r="A206" s="3"/>
      <c r="B206" s="5" t="s">
        <v>162</v>
      </c>
      <c r="C206" s="7">
        <v>17.241228571428568</v>
      </c>
      <c r="D206" s="7">
        <v>16.75262857142857</v>
      </c>
      <c r="E206" s="7">
        <v>17.501105714285718</v>
      </c>
      <c r="F206" s="7"/>
      <c r="G206" s="7"/>
      <c r="H206" s="7"/>
      <c r="I206" s="7">
        <v>19.660621744092847</v>
      </c>
      <c r="J206" s="7">
        <v>18.06161428571429</v>
      </c>
      <c r="K206" s="7"/>
      <c r="L206" s="7"/>
      <c r="M206" s="7"/>
      <c r="N206" s="7">
        <v>17.541142857142855</v>
      </c>
      <c r="O206" s="8">
        <v>12.904962352431438</v>
      </c>
      <c r="P206" s="7"/>
      <c r="Q206" s="7">
        <v>12.5386</v>
      </c>
      <c r="R206" s="15"/>
      <c r="S206" s="8"/>
    </row>
    <row r="207" spans="1:19" ht="16.5" customHeight="1" hidden="1">
      <c r="A207" s="3"/>
      <c r="B207" s="5" t="s">
        <v>163</v>
      </c>
      <c r="C207" s="7">
        <v>16.84284705882353</v>
      </c>
      <c r="D207" s="7">
        <v>16.513541666666665</v>
      </c>
      <c r="E207" s="7">
        <v>17.450740000000003</v>
      </c>
      <c r="F207" s="7"/>
      <c r="G207" s="7"/>
      <c r="H207" s="7"/>
      <c r="I207" s="7">
        <v>19.627828251360427</v>
      </c>
      <c r="J207" s="7">
        <v>18.092714285714287</v>
      </c>
      <c r="K207" s="7"/>
      <c r="L207" s="7"/>
      <c r="M207" s="7"/>
      <c r="N207" s="7">
        <v>17.577028571428574</v>
      </c>
      <c r="O207" s="8">
        <v>12.779041787793842</v>
      </c>
      <c r="P207" s="7"/>
      <c r="Q207" s="7">
        <v>12.4879</v>
      </c>
      <c r="R207" s="15"/>
      <c r="S207" s="8"/>
    </row>
    <row r="208" spans="1:19" ht="16.5" customHeight="1" hidden="1">
      <c r="A208" s="3"/>
      <c r="B208" s="5" t="s">
        <v>164</v>
      </c>
      <c r="C208" s="7">
        <v>16.794171428571428</v>
      </c>
      <c r="D208" s="7">
        <v>16.308414285714285</v>
      </c>
      <c r="E208" s="7">
        <v>17.248754285714288</v>
      </c>
      <c r="F208" s="7"/>
      <c r="G208" s="7"/>
      <c r="H208" s="7"/>
      <c r="I208" s="7">
        <v>19.236747173327416</v>
      </c>
      <c r="J208" s="7">
        <v>17.209857142857143</v>
      </c>
      <c r="K208" s="7"/>
      <c r="L208" s="7"/>
      <c r="M208" s="7"/>
      <c r="N208" s="7">
        <v>16.704028571428577</v>
      </c>
      <c r="O208" s="8">
        <v>13.050177547615936</v>
      </c>
      <c r="P208" s="7"/>
      <c r="Q208" s="7">
        <v>13.3547</v>
      </c>
      <c r="R208" s="15"/>
      <c r="S208" s="8"/>
    </row>
    <row r="209" spans="1:19" ht="16.5" customHeight="1" hidden="1">
      <c r="A209" s="3"/>
      <c r="B209" s="4" t="s">
        <v>13</v>
      </c>
      <c r="C209" s="11">
        <f>(C201*1+C204*7+C205*7+C206*7+C207*7+C208*2)/31</f>
        <v>17.080799105448627</v>
      </c>
      <c r="D209" s="11">
        <f aca="true" t="shared" si="17" ref="D209:Q209">(D201*1+D204*7+D205*7+D206*7+D207*7+D208*2)/31</f>
        <v>16.641885472576128</v>
      </c>
      <c r="E209" s="11">
        <f t="shared" si="17"/>
        <v>17.44426293778802</v>
      </c>
      <c r="F209" s="11"/>
      <c r="G209" s="11"/>
      <c r="H209" s="11"/>
      <c r="I209" s="11">
        <f t="shared" si="17"/>
        <v>19.499727625283164</v>
      </c>
      <c r="J209" s="11">
        <f t="shared" si="17"/>
        <v>18.02579279953917</v>
      </c>
      <c r="K209" s="11"/>
      <c r="L209" s="11"/>
      <c r="M209" s="11"/>
      <c r="N209" s="11">
        <f t="shared" si="17"/>
        <v>17.49121474654378</v>
      </c>
      <c r="O209" s="38">
        <f t="shared" si="17"/>
        <v>12.58259654468337</v>
      </c>
      <c r="P209" s="11"/>
      <c r="Q209" s="11">
        <f t="shared" si="17"/>
        <v>12.740583870967741</v>
      </c>
      <c r="R209" s="15"/>
      <c r="S209" s="8"/>
    </row>
    <row r="210" spans="1:19" ht="16.5" customHeight="1" hidden="1">
      <c r="A210" s="3"/>
      <c r="B210" s="5" t="s">
        <v>165</v>
      </c>
      <c r="C210" s="7">
        <v>16.372742857142857</v>
      </c>
      <c r="D210" s="7">
        <v>15.883399999999998</v>
      </c>
      <c r="E210" s="7">
        <v>16.372742857142857</v>
      </c>
      <c r="F210" s="7"/>
      <c r="G210" s="7"/>
      <c r="H210" s="7"/>
      <c r="I210" s="7">
        <v>19.297243736863006</v>
      </c>
      <c r="J210" s="7">
        <v>17.02932857142857</v>
      </c>
      <c r="K210" s="7"/>
      <c r="L210" s="7"/>
      <c r="M210" s="7"/>
      <c r="N210" s="7">
        <v>16.524271428571428</v>
      </c>
      <c r="O210" s="8">
        <v>13.336331508144655</v>
      </c>
      <c r="P210" s="7"/>
      <c r="Q210" s="7">
        <v>12.377</v>
      </c>
      <c r="R210" s="15"/>
      <c r="S210" s="8"/>
    </row>
    <row r="211" spans="1:19" ht="16.5" customHeight="1" hidden="1">
      <c r="A211" s="3"/>
      <c r="B211" s="5" t="s">
        <v>166</v>
      </c>
      <c r="C211" s="7">
        <v>16.39728571428571</v>
      </c>
      <c r="D211" s="7">
        <v>15.910471428571428</v>
      </c>
      <c r="E211" s="7">
        <v>16.39728571428571</v>
      </c>
      <c r="F211" s="7"/>
      <c r="G211" s="7"/>
      <c r="H211" s="7"/>
      <c r="I211" s="7">
        <v>18.556223976231212</v>
      </c>
      <c r="J211" s="7">
        <v>16.937457142857145</v>
      </c>
      <c r="K211" s="7"/>
      <c r="L211" s="7"/>
      <c r="M211" s="7"/>
      <c r="N211" s="7">
        <v>16.435014285714285</v>
      </c>
      <c r="O211" s="8">
        <v>13.102386426797096</v>
      </c>
      <c r="P211" s="7"/>
      <c r="Q211" s="7">
        <v>12.4933</v>
      </c>
      <c r="R211" s="15"/>
      <c r="S211" s="8"/>
    </row>
    <row r="212" spans="1:19" ht="16.5" customHeight="1" hidden="1">
      <c r="A212" s="3"/>
      <c r="B212" s="5" t="s">
        <v>167</v>
      </c>
      <c r="C212" s="7">
        <v>17.000814285714288</v>
      </c>
      <c r="D212" s="7">
        <v>16.513200000000005</v>
      </c>
      <c r="E212" s="7">
        <v>17.000814285714288</v>
      </c>
      <c r="F212" s="7"/>
      <c r="G212" s="7"/>
      <c r="H212" s="7"/>
      <c r="I212" s="7">
        <v>18.677297080029614</v>
      </c>
      <c r="J212" s="7">
        <v>17.45037142857143</v>
      </c>
      <c r="K212" s="7"/>
      <c r="L212" s="7"/>
      <c r="M212" s="7"/>
      <c r="N212" s="7">
        <v>16.94762857142857</v>
      </c>
      <c r="O212" s="8">
        <v>13.237620467832958</v>
      </c>
      <c r="P212" s="7"/>
      <c r="Q212" s="7">
        <v>12.4223</v>
      </c>
      <c r="R212" s="15"/>
      <c r="S212" s="8"/>
    </row>
    <row r="213" spans="1:19" ht="16.5" customHeight="1" hidden="1">
      <c r="A213" s="3"/>
      <c r="B213" s="5" t="s">
        <v>168</v>
      </c>
      <c r="C213" s="7">
        <v>17.146614285714286</v>
      </c>
      <c r="D213" s="7">
        <v>16.664185714285715</v>
      </c>
      <c r="E213" s="7">
        <v>17.146614285714286</v>
      </c>
      <c r="F213" s="7"/>
      <c r="G213" s="7"/>
      <c r="H213" s="7"/>
      <c r="I213" s="7">
        <v>18.821833276115836</v>
      </c>
      <c r="J213" s="7">
        <v>18.097328571428573</v>
      </c>
      <c r="K213" s="7"/>
      <c r="L213" s="7"/>
      <c r="M213" s="7"/>
      <c r="N213" s="7">
        <v>17.600599999999996</v>
      </c>
      <c r="O213" s="8">
        <v>13.48138141740163</v>
      </c>
      <c r="P213" s="7"/>
      <c r="Q213" s="7">
        <v>12.4419</v>
      </c>
      <c r="R213" s="15"/>
      <c r="S213" s="8"/>
    </row>
    <row r="214" spans="1:19" ht="16.5" customHeight="1" hidden="1">
      <c r="A214" s="3"/>
      <c r="B214" s="4" t="s">
        <v>13</v>
      </c>
      <c r="C214" s="11">
        <f>(C208*4+C210*7+C211*7+C212*7+C213*3)/28</f>
        <v>16.67901530612245</v>
      </c>
      <c r="D214" s="11">
        <f aca="true" t="shared" si="18" ref="D214:Q214">(D208*4+D210*7+D211*7+D212*7+D213*3)/28</f>
        <v>16.191989795918367</v>
      </c>
      <c r="E214" s="11">
        <f t="shared" si="18"/>
        <v>16.743955714285715</v>
      </c>
      <c r="F214" s="11"/>
      <c r="G214" s="11"/>
      <c r="H214" s="11"/>
      <c r="I214" s="11">
        <f t="shared" si="18"/>
        <v>18.897422931197287</v>
      </c>
      <c r="J214" s="11">
        <f t="shared" si="18"/>
        <v>17.251839795918368</v>
      </c>
      <c r="K214" s="11"/>
      <c r="L214" s="11"/>
      <c r="M214" s="11"/>
      <c r="N214" s="11">
        <f t="shared" si="18"/>
        <v>16.74879693877551</v>
      </c>
      <c r="O214" s="38">
        <f t="shared" si="18"/>
        <v>13.227829402217557</v>
      </c>
      <c r="P214" s="11"/>
      <c r="Q214" s="11">
        <f t="shared" si="18"/>
        <v>12.564024999999999</v>
      </c>
      <c r="R214" s="15"/>
      <c r="S214" s="8"/>
    </row>
    <row r="215" spans="1:19" ht="16.5" customHeight="1" hidden="1">
      <c r="A215" s="3"/>
      <c r="B215" s="5" t="s">
        <v>169</v>
      </c>
      <c r="C215" s="7">
        <v>17.3539</v>
      </c>
      <c r="D215" s="7">
        <v>16.877557142857142</v>
      </c>
      <c r="E215" s="7">
        <v>17.75251</v>
      </c>
      <c r="F215" s="7"/>
      <c r="G215" s="7"/>
      <c r="H215" s="7"/>
      <c r="I215" s="7">
        <v>18.557472734911332</v>
      </c>
      <c r="J215" s="7">
        <v>18.206542857142857</v>
      </c>
      <c r="K215" s="7"/>
      <c r="L215" s="7"/>
      <c r="M215" s="7"/>
      <c r="N215" s="7">
        <v>17.63584285714286</v>
      </c>
      <c r="O215" s="8">
        <v>12.799454211545767</v>
      </c>
      <c r="P215" s="7"/>
      <c r="Q215" s="7">
        <v>12.3329</v>
      </c>
      <c r="R215" s="15"/>
      <c r="S215" s="8"/>
    </row>
    <row r="216" spans="1:19" ht="16.5" customHeight="1" hidden="1">
      <c r="A216" s="3"/>
      <c r="B216" s="5" t="s">
        <v>170</v>
      </c>
      <c r="C216" s="7">
        <v>17.748414285714286</v>
      </c>
      <c r="D216" s="7">
        <v>17.271471428571427</v>
      </c>
      <c r="E216" s="7">
        <v>18.10757285714286</v>
      </c>
      <c r="F216" s="7"/>
      <c r="G216" s="7"/>
      <c r="H216" s="7"/>
      <c r="I216" s="7">
        <v>18.88986360261769</v>
      </c>
      <c r="J216" s="7">
        <v>18.586857142857145</v>
      </c>
      <c r="K216" s="7"/>
      <c r="L216" s="7"/>
      <c r="M216" s="7"/>
      <c r="N216" s="7">
        <v>18.01584285714286</v>
      </c>
      <c r="O216" s="8">
        <v>12.862872478182371</v>
      </c>
      <c r="P216" s="7"/>
      <c r="Q216" s="7">
        <v>12.3197</v>
      </c>
      <c r="R216" s="15"/>
      <c r="S216" s="8"/>
    </row>
    <row r="217" spans="1:19" ht="16.5" customHeight="1" hidden="1">
      <c r="A217" s="3"/>
      <c r="B217" s="5" t="s">
        <v>171</v>
      </c>
      <c r="C217" s="7">
        <v>17.50207142857143</v>
      </c>
      <c r="D217" s="7">
        <v>17.026728571428574</v>
      </c>
      <c r="E217" s="7">
        <v>17.885864285714288</v>
      </c>
      <c r="F217" s="7"/>
      <c r="G217" s="7"/>
      <c r="H217" s="7"/>
      <c r="I217" s="7">
        <v>18.75585422632825</v>
      </c>
      <c r="J217" s="7">
        <v>18.387900000000002</v>
      </c>
      <c r="K217" s="7"/>
      <c r="L217" s="7"/>
      <c r="M217" s="7"/>
      <c r="N217" s="7">
        <v>17.818614285714286</v>
      </c>
      <c r="O217" s="8">
        <v>13.331243294975831</v>
      </c>
      <c r="P217" s="7"/>
      <c r="Q217" s="7">
        <v>12.3555</v>
      </c>
      <c r="R217" s="15"/>
      <c r="S217" s="8"/>
    </row>
    <row r="218" spans="1:19" ht="16.5" customHeight="1" hidden="1">
      <c r="A218" s="3"/>
      <c r="B218" s="5" t="s">
        <v>172</v>
      </c>
      <c r="C218" s="7">
        <v>18.380871428571428</v>
      </c>
      <c r="D218" s="7">
        <v>17.906014285714285</v>
      </c>
      <c r="E218" s="7">
        <v>18.791069999999998</v>
      </c>
      <c r="F218" s="7"/>
      <c r="G218" s="7"/>
      <c r="H218" s="7"/>
      <c r="I218" s="7">
        <v>19.35167056058651</v>
      </c>
      <c r="J218" s="7">
        <v>19.269299999999998</v>
      </c>
      <c r="K218" s="7"/>
      <c r="L218" s="7"/>
      <c r="M218" s="7"/>
      <c r="N218" s="7">
        <v>18.701600000000003</v>
      </c>
      <c r="O218" s="8">
        <v>13.37087032760318</v>
      </c>
      <c r="P218" s="7"/>
      <c r="Q218" s="7">
        <v>12.2928</v>
      </c>
      <c r="R218" s="15"/>
      <c r="S218" s="8"/>
    </row>
    <row r="219" spans="1:19" ht="16.5" customHeight="1" hidden="1">
      <c r="A219" s="3"/>
      <c r="B219" s="4" t="s">
        <v>13</v>
      </c>
      <c r="C219" s="11">
        <f>(C213*5+C215*7+C216*7+C217*7+C218*5)/31</f>
        <v>17.60864930875576</v>
      </c>
      <c r="D219" s="11">
        <f aca="true" t="shared" si="19" ref="D219:Q219">(D213*5+D215*7+D216*7+D217*7+D218*5)/31</f>
        <v>17.131654838709675</v>
      </c>
      <c r="E219" s="11">
        <f t="shared" si="19"/>
        <v>17.932582304147466</v>
      </c>
      <c r="F219" s="11"/>
      <c r="G219" s="11"/>
      <c r="H219" s="11"/>
      <c r="I219" s="11">
        <f t="shared" si="19"/>
        <v>18.84805977840363</v>
      </c>
      <c r="J219" s="11">
        <f t="shared" si="19"/>
        <v>18.487169124423964</v>
      </c>
      <c r="K219" s="11"/>
      <c r="L219" s="11"/>
      <c r="M219" s="11"/>
      <c r="N219" s="11">
        <f t="shared" si="19"/>
        <v>17.929132258064516</v>
      </c>
      <c r="O219" s="38">
        <f t="shared" si="19"/>
        <v>13.136008019933929</v>
      </c>
      <c r="P219" s="11"/>
      <c r="Q219" s="11">
        <f t="shared" si="19"/>
        <v>12.346135483870968</v>
      </c>
      <c r="R219" s="15"/>
      <c r="S219" s="8"/>
    </row>
    <row r="220" spans="1:19" ht="16.5" customHeight="1" hidden="1">
      <c r="A220" s="3"/>
      <c r="B220" s="5" t="s">
        <v>173</v>
      </c>
      <c r="C220" s="7">
        <v>18.706985714285715</v>
      </c>
      <c r="D220" s="7">
        <v>18.233214285714286</v>
      </c>
      <c r="E220" s="7">
        <v>19.370287142857144</v>
      </c>
      <c r="F220" s="7"/>
      <c r="G220" s="7"/>
      <c r="H220" s="7"/>
      <c r="I220" s="7">
        <v>19.60647923517012</v>
      </c>
      <c r="J220" s="7">
        <v>19.815114285714287</v>
      </c>
      <c r="K220" s="7"/>
      <c r="L220" s="7"/>
      <c r="M220" s="7"/>
      <c r="N220" s="7">
        <v>19.34082857142857</v>
      </c>
      <c r="O220" s="8">
        <v>14.036384966238712</v>
      </c>
      <c r="P220" s="7"/>
      <c r="Q220" s="7">
        <v>12.2879</v>
      </c>
      <c r="R220" s="15"/>
      <c r="S220" s="8"/>
    </row>
    <row r="221" spans="1:19" ht="16.5" customHeight="1" hidden="1">
      <c r="A221" s="3"/>
      <c r="B221" s="5" t="s">
        <v>174</v>
      </c>
      <c r="C221" s="7">
        <v>19.74772857142857</v>
      </c>
      <c r="D221" s="7">
        <v>19.27812857142857</v>
      </c>
      <c r="E221" s="7">
        <v>20.306955714285717</v>
      </c>
      <c r="F221" s="7"/>
      <c r="G221" s="7"/>
      <c r="H221" s="7"/>
      <c r="I221" s="7">
        <v>20.329730926715</v>
      </c>
      <c r="J221" s="7">
        <v>20.29124285714286</v>
      </c>
      <c r="K221" s="7"/>
      <c r="L221" s="7"/>
      <c r="M221" s="7"/>
      <c r="N221" s="7">
        <v>19.822085714285716</v>
      </c>
      <c r="O221" s="8">
        <v>14.241647541286552</v>
      </c>
      <c r="P221" s="7"/>
      <c r="Q221" s="7">
        <v>12.173</v>
      </c>
      <c r="R221" s="15"/>
      <c r="S221" s="8"/>
    </row>
    <row r="222" spans="1:19" ht="16.5" customHeight="1" hidden="1">
      <c r="A222" s="3"/>
      <c r="B222" s="5" t="s">
        <v>175</v>
      </c>
      <c r="C222" s="7">
        <v>20.567285714285713</v>
      </c>
      <c r="D222" s="7">
        <v>20.099485714285716</v>
      </c>
      <c r="E222" s="7">
        <v>21.044557142857148</v>
      </c>
      <c r="F222" s="7"/>
      <c r="G222" s="7"/>
      <c r="H222" s="7"/>
      <c r="I222" s="7">
        <v>21.370806459796494</v>
      </c>
      <c r="J222" s="7">
        <v>21.128328571428572</v>
      </c>
      <c r="K222" s="7"/>
      <c r="L222" s="7"/>
      <c r="M222" s="7"/>
      <c r="N222" s="7">
        <v>20.661957142857144</v>
      </c>
      <c r="O222" s="8">
        <v>14.61224505783204</v>
      </c>
      <c r="P222" s="7"/>
      <c r="Q222" s="7">
        <v>12.0116</v>
      </c>
      <c r="R222" s="15"/>
      <c r="S222" s="8"/>
    </row>
    <row r="223" spans="1:19" ht="16.5" customHeight="1" hidden="1">
      <c r="A223" s="3"/>
      <c r="B223" s="5" t="s">
        <v>176</v>
      </c>
      <c r="C223" s="7">
        <v>20.755814285714287</v>
      </c>
      <c r="D223" s="7">
        <v>20.291300000000003</v>
      </c>
      <c r="E223" s="7">
        <v>21.21423285714286</v>
      </c>
      <c r="F223" s="7"/>
      <c r="G223" s="7"/>
      <c r="H223" s="7"/>
      <c r="I223" s="7">
        <v>21.34030645464773</v>
      </c>
      <c r="J223" s="7">
        <v>21.02171428571429</v>
      </c>
      <c r="K223" s="7"/>
      <c r="L223" s="7"/>
      <c r="M223" s="7"/>
      <c r="N223" s="7">
        <v>20.55877142857143</v>
      </c>
      <c r="O223" s="8">
        <v>14.628714931655727</v>
      </c>
      <c r="P223" s="7"/>
      <c r="Q223" s="7">
        <v>11.9593</v>
      </c>
      <c r="R223" s="15"/>
      <c r="S223" s="8"/>
    </row>
    <row r="224" spans="1:19" ht="16.5" customHeight="1" hidden="1">
      <c r="A224" s="3"/>
      <c r="B224" s="4" t="s">
        <v>13</v>
      </c>
      <c r="C224" s="11">
        <f>(C218*2+C220*7+C221*7+C222*7+C223*7)/30</f>
        <v>19.84021476190476</v>
      </c>
      <c r="D224" s="11">
        <f aca="true" t="shared" si="20" ref="D224:Q224">(D218*2+D220*7+D221*7+D222*7+D223*7)/30</f>
        <v>19.37089761904762</v>
      </c>
      <c r="E224" s="11">
        <f t="shared" si="20"/>
        <v>20.37114566666667</v>
      </c>
      <c r="F224" s="11"/>
      <c r="G224" s="11"/>
      <c r="H224" s="11"/>
      <c r="I224" s="11">
        <f t="shared" si="20"/>
        <v>20.574486755182615</v>
      </c>
      <c r="J224" s="11">
        <f t="shared" si="20"/>
        <v>20.47778</v>
      </c>
      <c r="K224" s="11"/>
      <c r="L224" s="11"/>
      <c r="M224" s="11"/>
      <c r="N224" s="11">
        <f t="shared" si="20"/>
        <v>20.002956666666666</v>
      </c>
      <c r="O224" s="38">
        <f t="shared" si="20"/>
        <v>14.312489604476585</v>
      </c>
      <c r="P224" s="11"/>
      <c r="Q224" s="11">
        <f t="shared" si="20"/>
        <v>12.120273333333333</v>
      </c>
      <c r="R224" s="15"/>
      <c r="S224" s="8"/>
    </row>
    <row r="225" spans="1:19" ht="16.5" customHeight="1" hidden="1">
      <c r="A225" s="3"/>
      <c r="B225" s="5" t="s">
        <v>177</v>
      </c>
      <c r="C225" s="7">
        <v>21.07031428571429</v>
      </c>
      <c r="D225" s="7">
        <v>20.597828571428572</v>
      </c>
      <c r="E225" s="7">
        <v>21.497282857142864</v>
      </c>
      <c r="F225" s="7"/>
      <c r="G225" s="7"/>
      <c r="H225" s="7"/>
      <c r="I225" s="7">
        <v>21.069389558500045</v>
      </c>
      <c r="J225" s="7">
        <v>20.67335714285714</v>
      </c>
      <c r="K225" s="7"/>
      <c r="L225" s="7"/>
      <c r="M225" s="7"/>
      <c r="N225" s="7">
        <v>20.24202857142857</v>
      </c>
      <c r="O225" s="8">
        <v>13.671053332660543</v>
      </c>
      <c r="P225" s="7"/>
      <c r="Q225" s="7">
        <v>11.8805</v>
      </c>
      <c r="R225" s="15"/>
      <c r="S225" s="8"/>
    </row>
    <row r="226" spans="1:19" ht="16.5" customHeight="1" hidden="1">
      <c r="A226" s="3"/>
      <c r="B226" s="5" t="s">
        <v>178</v>
      </c>
      <c r="C226" s="7">
        <v>21.111528571428572</v>
      </c>
      <c r="D226" s="7">
        <v>20.638100000000005</v>
      </c>
      <c r="E226" s="7">
        <v>21.534375714285716</v>
      </c>
      <c r="F226" s="7"/>
      <c r="G226" s="7"/>
      <c r="H226" s="7"/>
      <c r="I226" s="7">
        <v>20.70856831830337</v>
      </c>
      <c r="J226" s="7">
        <v>20.788971428571426</v>
      </c>
      <c r="K226" s="7"/>
      <c r="L226" s="7"/>
      <c r="M226" s="7"/>
      <c r="N226" s="7">
        <v>20.35685714285714</v>
      </c>
      <c r="O226" s="8">
        <v>13.54928494325353</v>
      </c>
      <c r="P226" s="7"/>
      <c r="Q226" s="7">
        <v>11.8907</v>
      </c>
      <c r="R226" s="15"/>
      <c r="S226" s="8"/>
    </row>
    <row r="227" spans="1:19" ht="16.5" customHeight="1" hidden="1">
      <c r="A227" s="3"/>
      <c r="B227" s="5" t="s">
        <v>179</v>
      </c>
      <c r="C227" s="7">
        <v>21.164742857142862</v>
      </c>
      <c r="D227" s="7">
        <v>20.68708571428571</v>
      </c>
      <c r="E227" s="7">
        <v>21.58226857142858</v>
      </c>
      <c r="F227" s="7"/>
      <c r="G227" s="7"/>
      <c r="H227" s="7"/>
      <c r="I227" s="7">
        <v>20.40957511488128</v>
      </c>
      <c r="J227" s="7">
        <v>20.637028571428573</v>
      </c>
      <c r="K227" s="7"/>
      <c r="L227" s="7"/>
      <c r="M227" s="7"/>
      <c r="N227" s="7">
        <v>20.200728571428574</v>
      </c>
      <c r="O227" s="8">
        <v>13.415034288326977</v>
      </c>
      <c r="P227" s="7"/>
      <c r="Q227" s="7">
        <v>11.8934</v>
      </c>
      <c r="R227" s="15"/>
      <c r="S227" s="8"/>
    </row>
    <row r="228" spans="1:19" ht="16.5" customHeight="1" hidden="1">
      <c r="A228" s="3"/>
      <c r="B228" s="5" t="s">
        <v>180</v>
      </c>
      <c r="C228" s="7">
        <v>21.198271428571427</v>
      </c>
      <c r="D228" s="7">
        <v>20.71787142857143</v>
      </c>
      <c r="E228" s="7">
        <v>21.612444285714286</v>
      </c>
      <c r="F228" s="7"/>
      <c r="G228" s="7"/>
      <c r="H228" s="7"/>
      <c r="I228" s="7">
        <v>20.86039613209056</v>
      </c>
      <c r="J228" s="7">
        <v>20.932057142857143</v>
      </c>
      <c r="K228" s="7"/>
      <c r="L228" s="7"/>
      <c r="M228" s="7"/>
      <c r="N228" s="7">
        <v>20.4934</v>
      </c>
      <c r="O228" s="8">
        <v>13.459383018210692</v>
      </c>
      <c r="P228" s="7"/>
      <c r="Q228" s="7">
        <v>12.0254</v>
      </c>
      <c r="R228" s="15"/>
      <c r="S228" s="8"/>
    </row>
    <row r="229" spans="1:19" ht="16.5" customHeight="1" hidden="1">
      <c r="A229" s="3"/>
      <c r="B229" s="5" t="s">
        <v>181</v>
      </c>
      <c r="C229" s="7">
        <v>20.949114285714284</v>
      </c>
      <c r="D229" s="7">
        <v>20.47017142857143</v>
      </c>
      <c r="E229" s="7">
        <v>21.388202857142858</v>
      </c>
      <c r="F229" s="7"/>
      <c r="G229" s="7"/>
      <c r="H229" s="7"/>
      <c r="I229" s="7">
        <v>21.03636609520455</v>
      </c>
      <c r="J229" s="7">
        <v>20.963200000000004</v>
      </c>
      <c r="K229" s="7"/>
      <c r="L229" s="7"/>
      <c r="M229" s="7"/>
      <c r="N229" s="7">
        <v>20.525928571428572</v>
      </c>
      <c r="O229" s="8">
        <v>13.247883918393518</v>
      </c>
      <c r="P229" s="7"/>
      <c r="Q229" s="7">
        <v>12.1065</v>
      </c>
      <c r="R229" s="15"/>
      <c r="S229" s="8"/>
    </row>
    <row r="230" spans="1:19" ht="16.5" customHeight="1" hidden="1">
      <c r="A230" s="3"/>
      <c r="B230" s="4" t="s">
        <v>13</v>
      </c>
      <c r="C230" s="11">
        <f>(C225*7+C226*7+C227*7+C228*7+C229*3)/31</f>
        <v>21.118107834101384</v>
      </c>
      <c r="D230" s="11">
        <f aca="true" t="shared" si="21" ref="D230:Q230">(D225*7+D226*7+D227*7+D228*7+D229*3)/31</f>
        <v>20.64182949308756</v>
      </c>
      <c r="E230" s="11">
        <f t="shared" si="21"/>
        <v>21.540297050691247</v>
      </c>
      <c r="F230" s="11"/>
      <c r="G230" s="11"/>
      <c r="H230" s="11"/>
      <c r="I230" s="11">
        <f t="shared" si="21"/>
        <v>20.788535553291627</v>
      </c>
      <c r="J230" s="11">
        <f t="shared" si="21"/>
        <v>20.777725806451613</v>
      </c>
      <c r="K230" s="11"/>
      <c r="L230" s="11"/>
      <c r="M230" s="11"/>
      <c r="N230" s="11">
        <f t="shared" si="21"/>
        <v>20.34286728110599</v>
      </c>
      <c r="O230" s="38">
        <f t="shared" si="21"/>
        <v>13.496998091365898</v>
      </c>
      <c r="P230" s="11"/>
      <c r="Q230" s="11">
        <f t="shared" si="21"/>
        <v>11.940306451612903</v>
      </c>
      <c r="R230" s="15"/>
      <c r="S230" s="8"/>
    </row>
    <row r="231" spans="1:19" ht="16.5" customHeight="1" hidden="1">
      <c r="A231" s="3"/>
      <c r="B231" s="5" t="s">
        <v>182</v>
      </c>
      <c r="C231" s="7">
        <v>20.76224285714286</v>
      </c>
      <c r="D231" s="7">
        <v>20.28167142857143</v>
      </c>
      <c r="E231" s="7">
        <v>21.450018571428576</v>
      </c>
      <c r="F231" s="7"/>
      <c r="G231" s="7"/>
      <c r="H231" s="7"/>
      <c r="I231" s="7">
        <v>21.333631736625787</v>
      </c>
      <c r="J231" s="7">
        <v>21.4494</v>
      </c>
      <c r="K231" s="7"/>
      <c r="L231" s="7"/>
      <c r="M231" s="7"/>
      <c r="N231" s="7">
        <v>21.00132857142857</v>
      </c>
      <c r="O231" s="8">
        <v>13.037729955074523</v>
      </c>
      <c r="P231" s="7"/>
      <c r="Q231" s="7">
        <v>12.0609</v>
      </c>
      <c r="R231" s="15"/>
      <c r="S231" s="8"/>
    </row>
    <row r="232" spans="1:19" ht="16.5" customHeight="1" hidden="1">
      <c r="A232" s="3"/>
      <c r="B232" s="5" t="s">
        <v>183</v>
      </c>
      <c r="C232" s="7">
        <v>20.203985714285714</v>
      </c>
      <c r="D232" s="7">
        <v>19.722871428571427</v>
      </c>
      <c r="E232" s="7">
        <v>20.947587142857145</v>
      </c>
      <c r="F232" s="7"/>
      <c r="G232" s="7"/>
      <c r="H232" s="7"/>
      <c r="I232" s="7">
        <v>21.037176804053956</v>
      </c>
      <c r="J232" s="7">
        <v>21.730871428571426</v>
      </c>
      <c r="K232" s="7"/>
      <c r="L232" s="7"/>
      <c r="M232" s="7"/>
      <c r="N232" s="7">
        <v>21.282342857142858</v>
      </c>
      <c r="O232" s="8">
        <v>12.854616732366145</v>
      </c>
      <c r="P232" s="7"/>
      <c r="Q232" s="7">
        <v>12.0912</v>
      </c>
      <c r="R232" s="15"/>
      <c r="S232" s="8"/>
    </row>
    <row r="233" spans="1:19" ht="16.5" customHeight="1" hidden="1">
      <c r="A233" s="3"/>
      <c r="B233" s="5" t="s">
        <v>184</v>
      </c>
      <c r="C233" s="7">
        <v>19.743842857142855</v>
      </c>
      <c r="D233" s="7">
        <v>19.262571428571427</v>
      </c>
      <c r="E233" s="7">
        <v>20.533458571428575</v>
      </c>
      <c r="F233" s="7"/>
      <c r="G233" s="7"/>
      <c r="H233" s="7"/>
      <c r="I233" s="7">
        <v>20.955797332076543</v>
      </c>
      <c r="J233" s="7">
        <v>21.310400000000005</v>
      </c>
      <c r="K233" s="7"/>
      <c r="L233" s="7"/>
      <c r="M233" s="7"/>
      <c r="N233" s="7">
        <v>20.861214285714286</v>
      </c>
      <c r="O233" s="8">
        <v>12.679504458069763</v>
      </c>
      <c r="P233" s="7"/>
      <c r="Q233" s="7">
        <v>12.1266</v>
      </c>
      <c r="R233" s="15"/>
      <c r="S233" s="8"/>
    </row>
    <row r="234" spans="1:19" ht="16.5" customHeight="1" hidden="1">
      <c r="A234" s="3"/>
      <c r="B234" s="5" t="s">
        <v>185</v>
      </c>
      <c r="C234" s="7">
        <v>20.71337142857143</v>
      </c>
      <c r="D234" s="7">
        <v>20.232428571428574</v>
      </c>
      <c r="E234" s="7">
        <v>21.40603428571429</v>
      </c>
      <c r="F234" s="7"/>
      <c r="G234" s="7"/>
      <c r="H234" s="7"/>
      <c r="I234" s="7">
        <v>21.245506992707266</v>
      </c>
      <c r="J234" s="7">
        <v>21.236414285714286</v>
      </c>
      <c r="K234" s="7"/>
      <c r="L234" s="7"/>
      <c r="M234" s="7"/>
      <c r="N234" s="7">
        <v>20.78777142857143</v>
      </c>
      <c r="O234" s="8">
        <v>13.044315865137474</v>
      </c>
      <c r="P234" s="7"/>
      <c r="Q234" s="7">
        <v>12.1236</v>
      </c>
      <c r="R234" s="15"/>
      <c r="S234" s="8"/>
    </row>
    <row r="235" spans="1:19" ht="16.5" customHeight="1" hidden="1">
      <c r="A235" s="3"/>
      <c r="B235" s="4" t="s">
        <v>13</v>
      </c>
      <c r="C235" s="11">
        <f aca="true" t="shared" si="22" ref="C235:O235">(C229*4+C231*7+C232*7+C233*7+C234*5)/30</f>
        <v>20.411127142857143</v>
      </c>
      <c r="D235" s="11">
        <f t="shared" si="22"/>
        <v>19.93042095238095</v>
      </c>
      <c r="E235" s="11">
        <f t="shared" si="22"/>
        <v>21.103347761904768</v>
      </c>
      <c r="F235" s="11"/>
      <c r="G235" s="11"/>
      <c r="H235" s="11"/>
      <c r="I235" s="11">
        <f t="shared" si="22"/>
        <v>21.12197468178828</v>
      </c>
      <c r="J235" s="11">
        <f t="shared" si="22"/>
        <v>21.38231904761905</v>
      </c>
      <c r="K235" s="11"/>
      <c r="L235" s="11"/>
      <c r="M235" s="11"/>
      <c r="N235" s="11">
        <f t="shared" si="22"/>
        <v>20.935225714285714</v>
      </c>
      <c r="O235" s="38">
        <f t="shared" si="22"/>
        <v>12.940535767261148</v>
      </c>
      <c r="P235" s="11"/>
      <c r="Q235" s="11">
        <f>(Q229*4+Q231*7+Q232*7+Q233*7+Q234*5)/31</f>
        <v>11.709512903225805</v>
      </c>
      <c r="R235" s="15"/>
      <c r="S235" s="8"/>
    </row>
    <row r="236" spans="1:19" ht="16.5" customHeight="1" hidden="1">
      <c r="A236" s="3"/>
      <c r="B236" s="5" t="s">
        <v>186</v>
      </c>
      <c r="C236" s="7">
        <v>20.743085714285716</v>
      </c>
      <c r="D236" s="7">
        <v>20.277871428571427</v>
      </c>
      <c r="E236" s="7">
        <v>21.43277714285714</v>
      </c>
      <c r="F236" s="7"/>
      <c r="G236" s="7"/>
      <c r="H236" s="7"/>
      <c r="I236" s="7">
        <v>21.052650391144482</v>
      </c>
      <c r="J236" s="7">
        <v>21.295728571428576</v>
      </c>
      <c r="K236" s="7"/>
      <c r="L236" s="7"/>
      <c r="M236" s="7"/>
      <c r="N236" s="7">
        <v>20.910228571428572</v>
      </c>
      <c r="O236" s="8">
        <v>13.289750229401657</v>
      </c>
      <c r="P236" s="7"/>
      <c r="Q236" s="7">
        <v>12.129</v>
      </c>
      <c r="R236" s="15"/>
      <c r="S236" s="8"/>
    </row>
    <row r="237" spans="1:19" ht="16.5" customHeight="1" hidden="1">
      <c r="A237" s="3"/>
      <c r="B237" s="5" t="s">
        <v>187</v>
      </c>
      <c r="C237" s="7">
        <v>20.84867142857143</v>
      </c>
      <c r="D237" s="7">
        <v>20.38452857142857</v>
      </c>
      <c r="E237" s="7">
        <v>21.52780428571429</v>
      </c>
      <c r="F237" s="7"/>
      <c r="G237" s="7"/>
      <c r="H237" s="7"/>
      <c r="I237" s="7">
        <v>21.36384495482025</v>
      </c>
      <c r="J237" s="7">
        <v>21.518542857142855</v>
      </c>
      <c r="K237" s="7"/>
      <c r="L237" s="7"/>
      <c r="M237" s="7"/>
      <c r="N237" s="7">
        <v>21.13424285714286</v>
      </c>
      <c r="O237" s="8">
        <v>13.640123546862796</v>
      </c>
      <c r="P237" s="7"/>
      <c r="Q237" s="7">
        <v>12.0207</v>
      </c>
      <c r="R237" s="15"/>
      <c r="S237" s="8"/>
    </row>
    <row r="238" spans="1:19" ht="16.5" customHeight="1" hidden="1">
      <c r="A238" s="3"/>
      <c r="B238" s="5" t="s">
        <v>188</v>
      </c>
      <c r="C238" s="7">
        <v>20.8674</v>
      </c>
      <c r="D238" s="7">
        <v>20.401628571428574</v>
      </c>
      <c r="E238" s="7">
        <v>21.54466</v>
      </c>
      <c r="F238" s="7"/>
      <c r="G238" s="7"/>
      <c r="H238" s="7"/>
      <c r="I238" s="7">
        <v>21.502146079794194</v>
      </c>
      <c r="J238" s="7">
        <v>21.17302857142857</v>
      </c>
      <c r="K238" s="7"/>
      <c r="L238" s="7"/>
      <c r="M238" s="7"/>
      <c r="N238" s="7">
        <v>20.787000000000003</v>
      </c>
      <c r="O238" s="8">
        <v>13.648654535578425</v>
      </c>
      <c r="P238" s="7"/>
      <c r="Q238" s="7">
        <v>11.9751</v>
      </c>
      <c r="R238" s="15"/>
      <c r="S238" s="8"/>
    </row>
    <row r="239" spans="1:19" ht="16.5" customHeight="1" hidden="1">
      <c r="A239" s="3"/>
      <c r="B239" s="5" t="s">
        <v>189</v>
      </c>
      <c r="C239" s="7">
        <v>20.734985714285717</v>
      </c>
      <c r="D239" s="7">
        <v>20.2712</v>
      </c>
      <c r="E239" s="7">
        <v>21.425487142857147</v>
      </c>
      <c r="F239" s="7"/>
      <c r="G239" s="7"/>
      <c r="H239" s="7"/>
      <c r="I239" s="7">
        <v>21.253144103503676</v>
      </c>
      <c r="J239" s="7">
        <v>20.92224285714286</v>
      </c>
      <c r="K239" s="7"/>
      <c r="L239" s="7"/>
      <c r="M239" s="7"/>
      <c r="N239" s="7">
        <v>20.53774285714286</v>
      </c>
      <c r="O239" s="8">
        <v>13.340419792255437</v>
      </c>
      <c r="P239" s="7"/>
      <c r="Q239" s="7">
        <v>12.0332</v>
      </c>
      <c r="R239" s="15"/>
      <c r="S239" s="8"/>
    </row>
    <row r="240" spans="1:19" ht="16.5" customHeight="1" hidden="1">
      <c r="A240" s="3"/>
      <c r="B240" s="5" t="s">
        <v>190</v>
      </c>
      <c r="C240" s="7">
        <v>21.27177142857143</v>
      </c>
      <c r="D240" s="7">
        <v>20.7982</v>
      </c>
      <c r="E240" s="7">
        <v>21.90859428571429</v>
      </c>
      <c r="F240" s="7"/>
      <c r="G240" s="7"/>
      <c r="H240" s="7"/>
      <c r="I240" s="7">
        <v>21.71200493132283</v>
      </c>
      <c r="J240" s="7">
        <v>21.281342857142853</v>
      </c>
      <c r="K240" s="7"/>
      <c r="L240" s="7"/>
      <c r="M240" s="7"/>
      <c r="N240" s="7">
        <v>20.8368</v>
      </c>
      <c r="O240" s="8">
        <v>13.450813516709266</v>
      </c>
      <c r="P240" s="7"/>
      <c r="Q240" s="7">
        <v>11.9832</v>
      </c>
      <c r="R240" s="15"/>
      <c r="S240" s="8"/>
    </row>
    <row r="241" spans="1:19" ht="16.5" customHeight="1" hidden="1">
      <c r="A241" s="3"/>
      <c r="B241" s="4" t="s">
        <v>13</v>
      </c>
      <c r="C241" s="11">
        <f>(C234*2+C236*7+C237*7+C238*7+C239*5+C240*3)/31</f>
        <v>20.842938248847926</v>
      </c>
      <c r="D241" s="11">
        <f aca="true" t="shared" si="23" ref="D241:Q241">(D234*2+D236*7+D237*7+D238*7+D239*5+D240*3)/31</f>
        <v>20.376247004608295</v>
      </c>
      <c r="E241" s="11">
        <f t="shared" si="23"/>
        <v>21.522644423963136</v>
      </c>
      <c r="F241" s="11"/>
      <c r="G241" s="11"/>
      <c r="H241" s="11"/>
      <c r="I241" s="11">
        <f t="shared" si="23"/>
        <v>21.333007718619804</v>
      </c>
      <c r="J241" s="11">
        <f t="shared" si="23"/>
        <v>21.25287649769585</v>
      </c>
      <c r="K241" s="11"/>
      <c r="L241" s="11"/>
      <c r="M241" s="11"/>
      <c r="N241" s="11">
        <f t="shared" si="23"/>
        <v>20.857901843317975</v>
      </c>
      <c r="O241" s="38">
        <f t="shared" si="23"/>
        <v>13.457834497567099</v>
      </c>
      <c r="P241" s="11"/>
      <c r="Q241" s="11">
        <f t="shared" si="23"/>
        <v>12.039883870967742</v>
      </c>
      <c r="R241" s="15"/>
      <c r="S241" s="8"/>
    </row>
    <row r="242" spans="1:19" ht="16.5" customHeight="1" hidden="1">
      <c r="A242" s="3"/>
      <c r="B242" s="5" t="s">
        <v>191</v>
      </c>
      <c r="C242" s="7">
        <v>20.431542857142855</v>
      </c>
      <c r="D242" s="7">
        <v>19.960885714285716</v>
      </c>
      <c r="E242" s="7">
        <v>21.152388571428578</v>
      </c>
      <c r="F242" s="7"/>
      <c r="G242" s="7"/>
      <c r="H242" s="7"/>
      <c r="I242" s="7">
        <v>21.840565284170555</v>
      </c>
      <c r="J242" s="7">
        <v>21.31488571428571</v>
      </c>
      <c r="K242" s="7"/>
      <c r="L242" s="7"/>
      <c r="M242" s="7"/>
      <c r="N242" s="7">
        <v>20.86467142857143</v>
      </c>
      <c r="O242" s="8">
        <v>14.422700000000003</v>
      </c>
      <c r="P242" s="7"/>
      <c r="Q242" s="7">
        <v>11.9832</v>
      </c>
      <c r="R242" s="15"/>
      <c r="S242" s="8"/>
    </row>
    <row r="243" spans="1:19" ht="16.5" customHeight="1" hidden="1">
      <c r="A243" s="3"/>
      <c r="B243" s="5" t="s">
        <v>192</v>
      </c>
      <c r="C243" s="7">
        <v>19.285657142857143</v>
      </c>
      <c r="D243" s="7">
        <v>18.815542857142855</v>
      </c>
      <c r="E243" s="7">
        <v>20.12109142857143</v>
      </c>
      <c r="F243" s="7"/>
      <c r="G243" s="7"/>
      <c r="H243" s="7"/>
      <c r="I243" s="7">
        <v>21.29303948189755</v>
      </c>
      <c r="J243" s="7">
        <v>20.900085714285716</v>
      </c>
      <c r="K243" s="7"/>
      <c r="L243" s="7"/>
      <c r="M243" s="7"/>
      <c r="N243" s="7">
        <v>20.449685714285717</v>
      </c>
      <c r="O243" s="8">
        <v>14.404799999999998</v>
      </c>
      <c r="P243" s="7"/>
      <c r="Q243" s="7">
        <v>11.9636</v>
      </c>
      <c r="R243" s="15"/>
      <c r="S243" s="8"/>
    </row>
    <row r="244" spans="1:19" ht="16.5" customHeight="1" hidden="1">
      <c r="A244" s="3"/>
      <c r="B244" s="5" t="s">
        <v>193</v>
      </c>
      <c r="C244" s="7">
        <v>18.794785714285716</v>
      </c>
      <c r="D244" s="7">
        <v>18.32337142857143</v>
      </c>
      <c r="E244" s="7">
        <v>19.679307142857144</v>
      </c>
      <c r="F244" s="7"/>
      <c r="G244" s="7"/>
      <c r="H244" s="7"/>
      <c r="I244" s="7">
        <v>21.486530811016024</v>
      </c>
      <c r="J244" s="7">
        <v>20.870928571428575</v>
      </c>
      <c r="K244" s="7"/>
      <c r="L244" s="7"/>
      <c r="M244" s="7"/>
      <c r="N244" s="7">
        <v>20.419057142857145</v>
      </c>
      <c r="O244" s="8">
        <v>13.908900000000001</v>
      </c>
      <c r="P244" s="7"/>
      <c r="Q244" s="7">
        <v>11.8741</v>
      </c>
      <c r="R244" s="15"/>
      <c r="S244" s="8"/>
    </row>
    <row r="245" spans="1:19" ht="16.5" customHeight="1" hidden="1">
      <c r="A245" s="3"/>
      <c r="B245" s="5" t="s">
        <v>194</v>
      </c>
      <c r="C245" s="7">
        <v>17.62024285714286</v>
      </c>
      <c r="D245" s="7">
        <v>17.149742857142858</v>
      </c>
      <c r="E245" s="7">
        <v>18.62221857142858</v>
      </c>
      <c r="F245" s="7"/>
      <c r="G245" s="7"/>
      <c r="H245" s="7"/>
      <c r="I245" s="7">
        <v>21.273981975014557</v>
      </c>
      <c r="J245" s="7">
        <v>20.671357142857147</v>
      </c>
      <c r="K245" s="7"/>
      <c r="L245" s="7"/>
      <c r="M245" s="7"/>
      <c r="N245" s="7">
        <v>20.21985714285714</v>
      </c>
      <c r="O245" s="8">
        <v>14.046800000000001</v>
      </c>
      <c r="P245" s="7"/>
      <c r="Q245" s="7">
        <v>11.8407</v>
      </c>
      <c r="R245" s="15"/>
      <c r="S245" s="8"/>
    </row>
    <row r="246" spans="1:19" ht="16.5" customHeight="1" hidden="1">
      <c r="A246" s="3"/>
      <c r="B246" s="4" t="s">
        <v>13</v>
      </c>
      <c r="C246" s="11">
        <f>(C240*6+C242*7+C243*7+C244*7+C245*4)/31</f>
        <v>19.603080645161292</v>
      </c>
      <c r="D246" s="11">
        <f aca="true" t="shared" si="24" ref="D246:Q246">(D240*6+D242*7+D243*7+D244*7+D245*4)/31</f>
        <v>19.13183133640553</v>
      </c>
      <c r="E246" s="11">
        <f t="shared" si="24"/>
        <v>20.406772580645164</v>
      </c>
      <c r="F246" s="11"/>
      <c r="G246" s="11"/>
      <c r="H246" s="11"/>
      <c r="I246" s="11">
        <f t="shared" si="24"/>
        <v>21.538996984760775</v>
      </c>
      <c r="J246" s="11">
        <f t="shared" si="24"/>
        <v>21.031444700460828</v>
      </c>
      <c r="K246" s="11"/>
      <c r="L246" s="11"/>
      <c r="M246" s="11"/>
      <c r="N246" s="11">
        <f t="shared" si="24"/>
        <v>20.58174608294931</v>
      </c>
      <c r="O246" s="38">
        <f t="shared" si="24"/>
        <v>14.066028422588891</v>
      </c>
      <c r="P246" s="11"/>
      <c r="Q246" s="11">
        <f t="shared" si="24"/>
        <v>11.935751612903227</v>
      </c>
      <c r="R246" s="15"/>
      <c r="S246" s="8"/>
    </row>
    <row r="247" spans="1:19" ht="16.5" customHeight="1" hidden="1">
      <c r="A247" s="3"/>
      <c r="B247" s="5" t="s">
        <v>195</v>
      </c>
      <c r="C247" s="7">
        <v>16.385014285714288</v>
      </c>
      <c r="D247" s="7">
        <v>15.928985714285712</v>
      </c>
      <c r="E247" s="7">
        <v>17.51051285714286</v>
      </c>
      <c r="F247" s="7"/>
      <c r="G247" s="7"/>
      <c r="H247" s="7"/>
      <c r="I247" s="7">
        <v>20.533298153875325</v>
      </c>
      <c r="J247" s="7">
        <v>19.915928571428573</v>
      </c>
      <c r="K247" s="7"/>
      <c r="L247" s="7"/>
      <c r="M247" s="7"/>
      <c r="N247" s="7">
        <v>19.44308571428571</v>
      </c>
      <c r="O247" s="8">
        <v>14.1379</v>
      </c>
      <c r="P247" s="7"/>
      <c r="Q247" s="7">
        <v>11.876099999999997</v>
      </c>
      <c r="R247" s="15"/>
      <c r="S247" s="8"/>
    </row>
    <row r="248" spans="1:19" ht="16.5" customHeight="1" hidden="1">
      <c r="A248" s="3"/>
      <c r="B248" s="5" t="s">
        <v>196</v>
      </c>
      <c r="C248" s="7">
        <v>15.765957142857141</v>
      </c>
      <c r="D248" s="7">
        <v>15.310157142857141</v>
      </c>
      <c r="E248" s="7">
        <v>16.95336142857143</v>
      </c>
      <c r="F248" s="7"/>
      <c r="G248" s="7"/>
      <c r="H248" s="7"/>
      <c r="I248" s="7">
        <v>19.235017096922604</v>
      </c>
      <c r="J248" s="7">
        <v>18.303742857142858</v>
      </c>
      <c r="K248" s="7"/>
      <c r="L248" s="7"/>
      <c r="M248" s="7">
        <v>18.284381666666665</v>
      </c>
      <c r="N248" s="7">
        <v>17.829642857142858</v>
      </c>
      <c r="O248" s="8">
        <v>13.3536</v>
      </c>
      <c r="P248" s="7"/>
      <c r="Q248" s="7">
        <v>11.804900000000002</v>
      </c>
      <c r="R248" s="15"/>
      <c r="S248" s="8"/>
    </row>
    <row r="249" spans="1:19" ht="16.5" customHeight="1" hidden="1">
      <c r="A249" s="3"/>
      <c r="B249" s="5" t="s">
        <v>197</v>
      </c>
      <c r="C249" s="7">
        <v>15.530128571428572</v>
      </c>
      <c r="D249" s="7">
        <v>15.073842857142859</v>
      </c>
      <c r="E249" s="7">
        <v>16.741115714285712</v>
      </c>
      <c r="F249" s="7"/>
      <c r="G249" s="7"/>
      <c r="H249" s="7"/>
      <c r="I249" s="7">
        <v>18.41997674808247</v>
      </c>
      <c r="J249" s="7">
        <v>17.51692857142857</v>
      </c>
      <c r="K249" s="7"/>
      <c r="L249" s="7"/>
      <c r="M249" s="7">
        <v>17.914582857142854</v>
      </c>
      <c r="N249" s="7">
        <v>17.04161428571428</v>
      </c>
      <c r="O249" s="8">
        <v>12.997199999999996</v>
      </c>
      <c r="P249" s="7"/>
      <c r="Q249" s="7">
        <v>11.813199999999998</v>
      </c>
      <c r="R249" s="15"/>
      <c r="S249" s="8"/>
    </row>
    <row r="250" spans="1:19" ht="16.5" customHeight="1" hidden="1">
      <c r="A250" s="3"/>
      <c r="B250" s="5" t="s">
        <v>198</v>
      </c>
      <c r="C250" s="7">
        <v>15.610857142857144</v>
      </c>
      <c r="D250" s="7">
        <v>15.153514285714285</v>
      </c>
      <c r="E250" s="7">
        <v>16.81377142857143</v>
      </c>
      <c r="F250" s="7"/>
      <c r="G250" s="7"/>
      <c r="H250" s="7"/>
      <c r="I250" s="7">
        <v>18.24643828453537</v>
      </c>
      <c r="J250" s="7">
        <v>17.512999999999998</v>
      </c>
      <c r="K250" s="7"/>
      <c r="L250" s="7"/>
      <c r="M250" s="7">
        <v>17.914704999999998</v>
      </c>
      <c r="N250" s="7">
        <v>17.03654285714286</v>
      </c>
      <c r="O250" s="8">
        <v>12.4765</v>
      </c>
      <c r="P250" s="7"/>
      <c r="Q250" s="7">
        <v>11.817899999999998</v>
      </c>
      <c r="R250" s="15"/>
      <c r="S250" s="8"/>
    </row>
    <row r="251" spans="1:19" ht="16.5" customHeight="1" hidden="1">
      <c r="A251" s="3"/>
      <c r="B251" s="4" t="s">
        <v>13</v>
      </c>
      <c r="C251" s="11">
        <f>(C245*3+C247*7+C248*7+C249*7+C250*6)/30</f>
        <v>16.009785714285716</v>
      </c>
      <c r="D251" s="11">
        <f aca="true" t="shared" si="25" ref="D251:Q251">(D245*3+D247*7+D248*7+D249*7+D250*6)/30</f>
        <v>15.552040476190475</v>
      </c>
      <c r="E251" s="11">
        <f t="shared" si="25"/>
        <v>17.17280714285715</v>
      </c>
      <c r="F251" s="11"/>
      <c r="G251" s="11"/>
      <c r="H251" s="11"/>
      <c r="I251" s="11">
        <f t="shared" si="25"/>
        <v>19.353953987480622</v>
      </c>
      <c r="J251" s="11">
        <f t="shared" si="25"/>
        <v>18.574942380952383</v>
      </c>
      <c r="K251" s="11"/>
      <c r="L251" s="11"/>
      <c r="M251" s="11">
        <f>(M248*3+M249*7+M250*6)/15</f>
        <v>19.182897</v>
      </c>
      <c r="N251" s="11">
        <f t="shared" si="25"/>
        <v>18.102640952380952</v>
      </c>
      <c r="O251" s="38">
        <f t="shared" si="25"/>
        <v>13.347343333333331</v>
      </c>
      <c r="P251" s="11"/>
      <c r="Q251" s="11">
        <f t="shared" si="25"/>
        <v>11.82963</v>
      </c>
      <c r="R251" s="15"/>
      <c r="S251" s="8"/>
    </row>
    <row r="252" spans="1:19" ht="16.5" customHeight="1" hidden="1">
      <c r="A252" s="3"/>
      <c r="B252" s="5" t="s">
        <v>199</v>
      </c>
      <c r="C252" s="7">
        <v>15.259885714285714</v>
      </c>
      <c r="D252" s="7">
        <v>14.801628571428571</v>
      </c>
      <c r="E252" s="7">
        <v>16.49789714285714</v>
      </c>
      <c r="F252" s="7"/>
      <c r="G252" s="7"/>
      <c r="H252" s="7"/>
      <c r="I252" s="7">
        <v>18.091257194398718</v>
      </c>
      <c r="J252" s="7">
        <v>17.44014285714286</v>
      </c>
      <c r="K252" s="7"/>
      <c r="L252" s="7"/>
      <c r="M252" s="7">
        <v>17.87089642857143</v>
      </c>
      <c r="N252" s="7">
        <v>16.995871428571427</v>
      </c>
      <c r="O252" s="8">
        <v>11.279764137127373</v>
      </c>
      <c r="P252" s="7"/>
      <c r="Q252" s="7">
        <v>11.8431</v>
      </c>
      <c r="R252" s="15"/>
      <c r="S252" s="8"/>
    </row>
    <row r="253" spans="1:19" ht="16.5" customHeight="1" hidden="1">
      <c r="A253" s="3"/>
      <c r="B253" s="5" t="s">
        <v>200</v>
      </c>
      <c r="C253" s="7">
        <v>15.034114285714285</v>
      </c>
      <c r="D253" s="7">
        <v>14.577171428571429</v>
      </c>
      <c r="E253" s="7">
        <v>16.29470285714286</v>
      </c>
      <c r="F253" s="7"/>
      <c r="G253" s="7"/>
      <c r="H253" s="7"/>
      <c r="I253" s="7">
        <v>17.88013390274673</v>
      </c>
      <c r="J253" s="7">
        <v>17.54312857142857</v>
      </c>
      <c r="K253" s="7"/>
      <c r="L253" s="7"/>
      <c r="M253" s="7">
        <v>17.97048357142857</v>
      </c>
      <c r="N253" s="7">
        <v>17.100142857142856</v>
      </c>
      <c r="O253" s="8">
        <v>11.13423678133241</v>
      </c>
      <c r="P253" s="7"/>
      <c r="Q253" s="7">
        <v>11.8726</v>
      </c>
      <c r="R253" s="15"/>
      <c r="S253" s="8"/>
    </row>
    <row r="254" spans="1:19" ht="16.5" customHeight="1" hidden="1">
      <c r="A254" s="3"/>
      <c r="B254" s="5" t="s">
        <v>201</v>
      </c>
      <c r="C254" s="7">
        <v>14.898471428571428</v>
      </c>
      <c r="D254" s="7">
        <v>14.443385714285714</v>
      </c>
      <c r="E254" s="7">
        <v>16.172624285714285</v>
      </c>
      <c r="F254" s="7"/>
      <c r="G254" s="7"/>
      <c r="H254" s="7"/>
      <c r="I254" s="7">
        <v>17.650348895657064</v>
      </c>
      <c r="J254" s="7">
        <v>17.390271428571427</v>
      </c>
      <c r="K254" s="7"/>
      <c r="L254" s="7"/>
      <c r="M254" s="7">
        <v>17.825757857142854</v>
      </c>
      <c r="N254" s="7">
        <v>16.949028571428574</v>
      </c>
      <c r="O254" s="8">
        <v>11.013652274863873</v>
      </c>
      <c r="P254" s="7"/>
      <c r="Q254" s="7">
        <v>11.8455</v>
      </c>
      <c r="R254" s="15"/>
      <c r="S254" s="8"/>
    </row>
    <row r="255" spans="1:19" ht="16.5" customHeight="1" hidden="1">
      <c r="A255" s="3"/>
      <c r="B255" s="5" t="s">
        <v>202</v>
      </c>
      <c r="C255" s="7">
        <v>14.739428571428572</v>
      </c>
      <c r="D255" s="7">
        <v>14.28777142857143</v>
      </c>
      <c r="E255" s="7">
        <v>16.029485714285716</v>
      </c>
      <c r="F255" s="7"/>
      <c r="G255" s="7"/>
      <c r="H255" s="7"/>
      <c r="I255" s="7">
        <v>17.404250174896305</v>
      </c>
      <c r="J255" s="7">
        <v>17.167400000000004</v>
      </c>
      <c r="K255" s="7"/>
      <c r="L255" s="7"/>
      <c r="M255" s="7">
        <v>17.604489285714287</v>
      </c>
      <c r="N255" s="7">
        <v>16.729414285714288</v>
      </c>
      <c r="O255" s="8">
        <v>10.943017925951436</v>
      </c>
      <c r="P255" s="7"/>
      <c r="Q255" s="7">
        <v>11.8033</v>
      </c>
      <c r="R255" s="15"/>
      <c r="S255" s="8"/>
    </row>
    <row r="256" spans="1:19" ht="16.5" customHeight="1" hidden="1">
      <c r="A256" s="3"/>
      <c r="B256" s="5" t="s">
        <v>203</v>
      </c>
      <c r="C256" s="7">
        <v>14.253814285714286</v>
      </c>
      <c r="D256" s="7">
        <v>13.80652857142857</v>
      </c>
      <c r="E256" s="7">
        <v>15.592432857142855</v>
      </c>
      <c r="F256" s="7"/>
      <c r="G256" s="7"/>
      <c r="H256" s="7"/>
      <c r="I256" s="7">
        <v>16.87925973199459</v>
      </c>
      <c r="J256" s="7">
        <v>16.449685714285714</v>
      </c>
      <c r="K256" s="7"/>
      <c r="L256" s="7"/>
      <c r="M256" s="7">
        <v>16.773997857142856</v>
      </c>
      <c r="N256" s="7">
        <v>16.023600000000002</v>
      </c>
      <c r="O256" s="8">
        <v>10.783265347263464</v>
      </c>
      <c r="P256" s="7"/>
      <c r="Q256" s="7">
        <v>11.7127</v>
      </c>
      <c r="R256" s="15"/>
      <c r="S256" s="8"/>
    </row>
    <row r="257" spans="1:19" ht="16.5" customHeight="1" hidden="1">
      <c r="A257" s="3"/>
      <c r="B257" s="4" t="s">
        <v>13</v>
      </c>
      <c r="C257" s="11">
        <f>(C250*1+C252*7+C253*7+C254*7+C255*7+C256*2)/31</f>
        <v>14.956186635944698</v>
      </c>
      <c r="D257" s="11">
        <f aca="true" t="shared" si="26" ref="D257:Q257">(D250*1+D252*7+D253*7+D254*7+D255*7+D256*2)/31</f>
        <v>14.501170046082951</v>
      </c>
      <c r="E257" s="11">
        <f t="shared" si="26"/>
        <v>16.224567972350233</v>
      </c>
      <c r="F257" s="11"/>
      <c r="G257" s="11"/>
      <c r="H257" s="11"/>
      <c r="I257" s="11">
        <f t="shared" si="26"/>
        <v>17.715706094271493</v>
      </c>
      <c r="J257" s="11">
        <f t="shared" si="26"/>
        <v>17.328999078341013</v>
      </c>
      <c r="K257" s="11"/>
      <c r="L257" s="11"/>
      <c r="M257" s="11">
        <f t="shared" si="26"/>
        <v>17.753680345622115</v>
      </c>
      <c r="N257" s="11">
        <f t="shared" si="26"/>
        <v>16.887256221198157</v>
      </c>
      <c r="O257" s="38">
        <f t="shared" si="26"/>
        <v>11.117346081595246</v>
      </c>
      <c r="P257" s="11"/>
      <c r="Q257" s="11">
        <f t="shared" si="26"/>
        <v>11.832090322580648</v>
      </c>
      <c r="R257" s="15"/>
      <c r="S257" s="8"/>
    </row>
    <row r="258" spans="1:19" ht="16.5" customHeight="1" hidden="1">
      <c r="A258" s="3"/>
      <c r="B258" s="5" t="s">
        <v>204</v>
      </c>
      <c r="C258" s="7">
        <v>14.7671</v>
      </c>
      <c r="D258" s="7">
        <v>14.801628571428571</v>
      </c>
      <c r="E258" s="7">
        <v>16.49789714285714</v>
      </c>
      <c r="F258" s="7"/>
      <c r="G258" s="7"/>
      <c r="H258" s="7"/>
      <c r="I258" s="7">
        <v>18.091257194398718</v>
      </c>
      <c r="J258" s="7">
        <v>17.44014285714286</v>
      </c>
      <c r="K258" s="7"/>
      <c r="L258" s="7"/>
      <c r="M258" s="7">
        <v>16.801251428571426</v>
      </c>
      <c r="N258" s="7">
        <v>16.995871428571427</v>
      </c>
      <c r="O258" s="8">
        <v>11.279764137127373</v>
      </c>
      <c r="P258" s="7"/>
      <c r="Q258" s="7">
        <v>11.5964</v>
      </c>
      <c r="R258" s="15"/>
      <c r="S258" s="8"/>
    </row>
    <row r="259" spans="1:19" ht="16.5" customHeight="1" hidden="1">
      <c r="A259" s="3"/>
      <c r="B259" s="5" t="s">
        <v>205</v>
      </c>
      <c r="C259" s="7">
        <v>14.7525</v>
      </c>
      <c r="D259" s="7">
        <v>14.577171428571429</v>
      </c>
      <c r="E259" s="7">
        <v>16.29470285714286</v>
      </c>
      <c r="F259" s="7"/>
      <c r="G259" s="7"/>
      <c r="H259" s="7"/>
      <c r="I259" s="7">
        <v>17.88013390274673</v>
      </c>
      <c r="J259" s="7">
        <v>17.54312857142857</v>
      </c>
      <c r="K259" s="7"/>
      <c r="L259" s="7"/>
      <c r="M259" s="7">
        <v>16.93434642857143</v>
      </c>
      <c r="N259" s="7">
        <v>17.100142857142856</v>
      </c>
      <c r="O259" s="8">
        <v>11.13423678133241</v>
      </c>
      <c r="P259" s="7"/>
      <c r="Q259" s="7">
        <v>11.5879</v>
      </c>
      <c r="R259" s="15"/>
      <c r="S259" s="8"/>
    </row>
    <row r="260" spans="1:19" ht="16.5" customHeight="1" hidden="1">
      <c r="A260" s="3"/>
      <c r="B260" s="5" t="s">
        <v>206</v>
      </c>
      <c r="C260" s="7">
        <v>15.0731</v>
      </c>
      <c r="D260" s="7">
        <v>14.443385714285714</v>
      </c>
      <c r="E260" s="7">
        <v>16.172624285714285</v>
      </c>
      <c r="F260" s="7"/>
      <c r="G260" s="7"/>
      <c r="H260" s="7"/>
      <c r="I260" s="7">
        <v>17.650348895657064</v>
      </c>
      <c r="J260" s="7">
        <v>17.390271428571427</v>
      </c>
      <c r="K260" s="7"/>
      <c r="L260" s="7"/>
      <c r="M260" s="7">
        <v>17.129082857142855</v>
      </c>
      <c r="N260" s="7">
        <v>16.949028571428574</v>
      </c>
      <c r="O260" s="8">
        <v>11.013652274863873</v>
      </c>
      <c r="P260" s="7"/>
      <c r="Q260" s="7">
        <v>11.5376</v>
      </c>
      <c r="R260" s="15"/>
      <c r="S260" s="8"/>
    </row>
    <row r="261" spans="1:19" ht="16.5" customHeight="1" hidden="1">
      <c r="A261" s="3"/>
      <c r="B261" s="5" t="s">
        <v>207</v>
      </c>
      <c r="C261" s="7">
        <v>15.3963</v>
      </c>
      <c r="D261" s="7">
        <v>14.28777142857143</v>
      </c>
      <c r="E261" s="7">
        <v>16.029485714285716</v>
      </c>
      <c r="F261" s="7"/>
      <c r="G261" s="7"/>
      <c r="H261" s="7"/>
      <c r="I261" s="7">
        <v>17.404250174896305</v>
      </c>
      <c r="J261" s="7">
        <v>17.167400000000004</v>
      </c>
      <c r="K261" s="7"/>
      <c r="L261" s="7"/>
      <c r="M261" s="7">
        <v>17.036335714285716</v>
      </c>
      <c r="N261" s="7">
        <v>16.729414285714288</v>
      </c>
      <c r="O261" s="8">
        <v>10.943017925951436</v>
      </c>
      <c r="P261" s="7"/>
      <c r="Q261" s="7">
        <v>11.5552</v>
      </c>
      <c r="R261" s="15"/>
      <c r="S261" s="8"/>
    </row>
    <row r="262" spans="1:19" ht="16.5" customHeight="1" hidden="1">
      <c r="A262" s="3"/>
      <c r="B262" s="4" t="s">
        <v>13</v>
      </c>
      <c r="C262" s="11">
        <f>(C256*5+C258*7+C259*7+C260*7+C261*4)/30</f>
        <v>14.833439047619047</v>
      </c>
      <c r="D262" s="11">
        <f aca="true" t="shared" si="27" ref="D262:Q262">(D256*5+D258*7+D259*7+D260*7+D261*4)/30</f>
        <v>14.431300952380953</v>
      </c>
      <c r="E262" s="11">
        <f t="shared" si="27"/>
        <v>16.16122257142857</v>
      </c>
      <c r="F262" s="11"/>
      <c r="G262" s="11"/>
      <c r="H262" s="11"/>
      <c r="I262" s="11">
        <f t="shared" si="27"/>
        <v>17.645515976972526</v>
      </c>
      <c r="J262" s="11">
        <f t="shared" si="27"/>
        <v>17.251094285714284</v>
      </c>
      <c r="K262" s="11"/>
      <c r="L262" s="11"/>
      <c r="M262" s="11">
        <f t="shared" si="27"/>
        <v>16.935603238095236</v>
      </c>
      <c r="N262" s="11">
        <f t="shared" si="27"/>
        <v>16.811698571428572</v>
      </c>
      <c r="O262" s="38">
        <f t="shared" si="27"/>
        <v>11.056065693112954</v>
      </c>
      <c r="P262" s="11"/>
      <c r="Q262" s="11">
        <f t="shared" si="27"/>
        <v>11.594586666666665</v>
      </c>
      <c r="R262" s="15"/>
      <c r="S262" s="8"/>
    </row>
    <row r="263" spans="1:19" ht="16.5" customHeight="1" hidden="1">
      <c r="A263" s="3"/>
      <c r="B263" s="5" t="s">
        <v>208</v>
      </c>
      <c r="C263" s="7">
        <v>15.3526</v>
      </c>
      <c r="D263" s="7">
        <v>14.9174</v>
      </c>
      <c r="E263" s="7">
        <v>16.5814</v>
      </c>
      <c r="F263" s="7"/>
      <c r="G263" s="7"/>
      <c r="H263" s="7"/>
      <c r="I263" s="7">
        <v>18.0532</v>
      </c>
      <c r="J263" s="7">
        <v>16.2819</v>
      </c>
      <c r="K263" s="7"/>
      <c r="L263" s="7"/>
      <c r="M263" s="7">
        <v>16.547832142857143</v>
      </c>
      <c r="N263" s="7">
        <v>15.8755</v>
      </c>
      <c r="O263" s="8">
        <v>10.3278</v>
      </c>
      <c r="P263" s="7"/>
      <c r="Q263" s="7">
        <v>11.4262</v>
      </c>
      <c r="R263" s="15"/>
      <c r="S263" s="8"/>
    </row>
    <row r="264" spans="1:19" ht="16.5" customHeight="1" hidden="1">
      <c r="A264" s="3"/>
      <c r="B264" s="5" t="s">
        <v>209</v>
      </c>
      <c r="C264" s="7">
        <v>15.4324</v>
      </c>
      <c r="D264" s="7">
        <v>15.0016</v>
      </c>
      <c r="E264" s="7">
        <v>16.6531</v>
      </c>
      <c r="F264" s="7"/>
      <c r="G264" s="7"/>
      <c r="H264" s="7"/>
      <c r="I264" s="7">
        <v>17.6809</v>
      </c>
      <c r="J264" s="7">
        <v>16.1933</v>
      </c>
      <c r="K264" s="7"/>
      <c r="L264" s="7"/>
      <c r="M264" s="7">
        <v>16.461110714285716</v>
      </c>
      <c r="N264" s="7">
        <v>15.7912</v>
      </c>
      <c r="O264" s="8">
        <v>10.1295</v>
      </c>
      <c r="P264" s="7"/>
      <c r="Q264" s="7">
        <v>11.2724</v>
      </c>
      <c r="R264" s="15"/>
      <c r="S264" s="8"/>
    </row>
    <row r="265" spans="1:19" ht="16.5" customHeight="1" hidden="1">
      <c r="A265" s="3"/>
      <c r="B265" s="5" t="s">
        <v>210</v>
      </c>
      <c r="C265" s="7">
        <v>16.2175</v>
      </c>
      <c r="D265" s="7">
        <v>15.7769</v>
      </c>
      <c r="E265" s="7">
        <v>17.3597</v>
      </c>
      <c r="F265" s="7"/>
      <c r="G265" s="7"/>
      <c r="H265" s="7"/>
      <c r="I265" s="7">
        <v>17.8607</v>
      </c>
      <c r="J265" s="7">
        <v>16.5087</v>
      </c>
      <c r="K265" s="7"/>
      <c r="L265" s="7"/>
      <c r="M265" s="7">
        <v>16.76325142857143</v>
      </c>
      <c r="N265" s="7">
        <v>16.0976</v>
      </c>
      <c r="O265" s="8">
        <v>10.5092</v>
      </c>
      <c r="P265" s="7"/>
      <c r="Q265" s="7">
        <v>11.1443</v>
      </c>
      <c r="R265" s="15"/>
      <c r="S265" s="8"/>
    </row>
    <row r="266" spans="1:19" ht="16.5" customHeight="1" hidden="1">
      <c r="A266" s="3"/>
      <c r="B266" s="5" t="s">
        <v>211</v>
      </c>
      <c r="C266" s="7">
        <v>16.1048</v>
      </c>
      <c r="D266" s="7">
        <v>15.6621</v>
      </c>
      <c r="E266" s="7">
        <v>17.2583</v>
      </c>
      <c r="F266" s="7"/>
      <c r="G266" s="7"/>
      <c r="H266" s="7"/>
      <c r="I266" s="7">
        <v>17.2603</v>
      </c>
      <c r="J266" s="7">
        <v>16.2016</v>
      </c>
      <c r="K266" s="7"/>
      <c r="L266" s="7"/>
      <c r="M266" s="7">
        <v>16.47152</v>
      </c>
      <c r="N266" s="7">
        <v>15.7882</v>
      </c>
      <c r="O266" s="8">
        <v>10.5099</v>
      </c>
      <c r="P266" s="7"/>
      <c r="Q266" s="7">
        <v>11.3511</v>
      </c>
      <c r="R266" s="15"/>
      <c r="S266" s="8"/>
    </row>
    <row r="267" spans="1:19" s="12" customFormat="1" ht="16.5" customHeight="1" hidden="1">
      <c r="A267" s="3"/>
      <c r="B267" s="4" t="s">
        <v>13</v>
      </c>
      <c r="C267" s="11">
        <f>(C261*3+C263*7+C264*7+C265*7+C266*7)/31</f>
        <v>15.740000000000002</v>
      </c>
      <c r="D267" s="11">
        <f aca="true" t="shared" si="28" ref="D267:Q267">(D261*3+D263*7+D264*7+D265*7+D266*7)/31</f>
        <v>15.237719815668203</v>
      </c>
      <c r="E267" s="11">
        <f t="shared" si="28"/>
        <v>16.872772811059907</v>
      </c>
      <c r="F267" s="11"/>
      <c r="G267" s="11"/>
      <c r="H267" s="11"/>
      <c r="I267" s="11">
        <f t="shared" si="28"/>
        <v>17.683820984667385</v>
      </c>
      <c r="J267" s="11">
        <f t="shared" si="28"/>
        <v>16.380667741935486</v>
      </c>
      <c r="K267" s="11"/>
      <c r="L267" s="11"/>
      <c r="M267" s="11">
        <f t="shared" si="28"/>
        <v>16.606935714285715</v>
      </c>
      <c r="N267" s="11">
        <f t="shared" si="28"/>
        <v>15.969540092165898</v>
      </c>
      <c r="O267" s="38">
        <f t="shared" si="28"/>
        <v>10.424640444446915</v>
      </c>
      <c r="P267" s="11"/>
      <c r="Q267" s="11">
        <f t="shared" si="28"/>
        <v>11.32334193548387</v>
      </c>
      <c r="R267" s="15"/>
      <c r="S267" s="8"/>
    </row>
    <row r="268" spans="1:19" ht="16.5" customHeight="1" hidden="1">
      <c r="A268" s="3"/>
      <c r="B268" s="6">
        <v>2007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  <c r="P268" s="7"/>
      <c r="Q268" s="7"/>
      <c r="R268" s="15"/>
      <c r="S268" s="8"/>
    </row>
    <row r="269" spans="1:19" ht="16.5" customHeight="1" hidden="1">
      <c r="A269" s="3"/>
      <c r="B269" s="13" t="s">
        <v>212</v>
      </c>
      <c r="C269" s="7">
        <v>15.2158</v>
      </c>
      <c r="D269" s="7">
        <v>14.7761</v>
      </c>
      <c r="E269" s="7">
        <v>16.4582</v>
      </c>
      <c r="F269" s="7"/>
      <c r="G269" s="7"/>
      <c r="H269" s="7"/>
      <c r="I269" s="7">
        <v>16.7086</v>
      </c>
      <c r="J269" s="7">
        <v>15.6744</v>
      </c>
      <c r="K269" s="7"/>
      <c r="L269" s="7"/>
      <c r="M269" s="7">
        <v>15.971657142857143</v>
      </c>
      <c r="N269" s="7">
        <v>15.2811</v>
      </c>
      <c r="O269" s="8">
        <v>10.1127</v>
      </c>
      <c r="P269" s="7"/>
      <c r="Q269" s="7">
        <v>11.4781</v>
      </c>
      <c r="R269" s="15"/>
      <c r="S269" s="8"/>
    </row>
    <row r="270" spans="1:19" ht="16.5" customHeight="1" hidden="1">
      <c r="A270" s="3"/>
      <c r="B270" s="13" t="s">
        <v>213</v>
      </c>
      <c r="C270" s="7">
        <v>14.2742</v>
      </c>
      <c r="D270" s="7">
        <v>13.8348</v>
      </c>
      <c r="E270" s="7">
        <v>15.5983</v>
      </c>
      <c r="F270" s="7"/>
      <c r="G270" s="7"/>
      <c r="H270" s="7"/>
      <c r="I270" s="7">
        <v>16.1128</v>
      </c>
      <c r="J270" s="7">
        <v>15.5291</v>
      </c>
      <c r="K270" s="7"/>
      <c r="L270" s="7"/>
      <c r="M270" s="7">
        <v>15.832522857142859</v>
      </c>
      <c r="N270" s="7">
        <v>15.1358</v>
      </c>
      <c r="O270" s="8">
        <v>10.2041</v>
      </c>
      <c r="P270" s="7"/>
      <c r="Q270" s="7">
        <v>11.387</v>
      </c>
      <c r="R270" s="15"/>
      <c r="S270" s="8"/>
    </row>
    <row r="271" spans="1:19" ht="16.5" customHeight="1" hidden="1">
      <c r="A271" s="3"/>
      <c r="B271" s="13" t="s">
        <v>214</v>
      </c>
      <c r="C271" s="7">
        <v>13.7943</v>
      </c>
      <c r="D271" s="7">
        <v>13.3551</v>
      </c>
      <c r="E271" s="7">
        <v>15.1496</v>
      </c>
      <c r="F271" s="7"/>
      <c r="G271" s="7"/>
      <c r="H271" s="7"/>
      <c r="I271" s="7">
        <v>15.8071</v>
      </c>
      <c r="J271" s="7">
        <v>15.2588</v>
      </c>
      <c r="K271" s="7"/>
      <c r="L271" s="7"/>
      <c r="M271" s="7">
        <v>15.576022857142856</v>
      </c>
      <c r="N271" s="7">
        <v>14.8654</v>
      </c>
      <c r="O271" s="8">
        <v>9.9949</v>
      </c>
      <c r="P271" s="7"/>
      <c r="Q271" s="7">
        <v>11.3845</v>
      </c>
      <c r="R271" s="15"/>
      <c r="S271" s="8"/>
    </row>
    <row r="272" spans="1:19" ht="16.5" customHeight="1" hidden="1">
      <c r="A272" s="3"/>
      <c r="B272" s="13" t="s">
        <v>215</v>
      </c>
      <c r="C272" s="7">
        <v>14.2853</v>
      </c>
      <c r="D272" s="7">
        <v>13.8473</v>
      </c>
      <c r="E272" s="7">
        <v>15.5907</v>
      </c>
      <c r="F272" s="7"/>
      <c r="G272" s="7"/>
      <c r="H272" s="7"/>
      <c r="I272" s="7">
        <v>16.0207</v>
      </c>
      <c r="J272" s="7">
        <v>15.6103</v>
      </c>
      <c r="K272" s="7"/>
      <c r="L272" s="7"/>
      <c r="M272" s="7">
        <v>15.909242142857142</v>
      </c>
      <c r="N272" s="7">
        <v>15.2184</v>
      </c>
      <c r="O272" s="8">
        <v>10.3036</v>
      </c>
      <c r="P272" s="7"/>
      <c r="Q272" s="7">
        <v>11.8409</v>
      </c>
      <c r="R272" s="15"/>
      <c r="S272" s="8"/>
    </row>
    <row r="273" spans="1:19" ht="16.5" customHeight="1" hidden="1">
      <c r="A273" s="3"/>
      <c r="B273" s="13" t="s">
        <v>220</v>
      </c>
      <c r="C273" s="7">
        <v>14.4491</v>
      </c>
      <c r="D273" s="7">
        <v>14.2101</v>
      </c>
      <c r="E273" s="7">
        <v>15.7377</v>
      </c>
      <c r="F273" s="7"/>
      <c r="G273" s="7"/>
      <c r="H273" s="7"/>
      <c r="I273" s="7">
        <v>16.0789</v>
      </c>
      <c r="J273" s="7">
        <v>16.0127</v>
      </c>
      <c r="K273" s="7"/>
      <c r="L273" s="7"/>
      <c r="M273" s="7">
        <v>16.292033333333332</v>
      </c>
      <c r="N273" s="7">
        <v>15.6221</v>
      </c>
      <c r="O273" s="8">
        <v>10.6044</v>
      </c>
      <c r="P273" s="7"/>
      <c r="Q273" s="7">
        <v>11.8089</v>
      </c>
      <c r="R273" s="15"/>
      <c r="S273" s="8"/>
    </row>
    <row r="274" spans="1:19" ht="16.5" customHeight="1" hidden="1">
      <c r="A274" s="3"/>
      <c r="B274" s="4" t="s">
        <v>13</v>
      </c>
      <c r="C274" s="11">
        <f>(C269*7+C270*7+C271*7+C272*7+C273*3)/31</f>
        <v>14.397887096774193</v>
      </c>
      <c r="D274" s="11">
        <f aca="true" t="shared" si="29" ref="D274:Q274">(D269*7+D270*7+D271*7+D272*7+D273*3)/31</f>
        <v>13.978174193548387</v>
      </c>
      <c r="E274" s="11">
        <f t="shared" si="29"/>
        <v>15.702925806451615</v>
      </c>
      <c r="F274" s="11"/>
      <c r="G274" s="11"/>
      <c r="H274" s="11"/>
      <c r="I274" s="11">
        <f t="shared" si="29"/>
        <v>16.154229032258066</v>
      </c>
      <c r="J274" s="11">
        <f t="shared" si="29"/>
        <v>15.566009677419354</v>
      </c>
      <c r="K274" s="11"/>
      <c r="L274" s="11"/>
      <c r="M274" s="11">
        <f t="shared" si="29"/>
        <v>15.867813387096774</v>
      </c>
      <c r="N274" s="11">
        <f t="shared" si="29"/>
        <v>15.17326451612903</v>
      </c>
      <c r="O274" s="38">
        <f t="shared" si="29"/>
        <v>10.197429032258064</v>
      </c>
      <c r="P274" s="11"/>
      <c r="Q274" s="11">
        <f t="shared" si="29"/>
        <v>11.550329032258063</v>
      </c>
      <c r="R274" s="15"/>
      <c r="S274" s="8"/>
    </row>
    <row r="275" spans="1:19" ht="16.5" customHeight="1" hidden="1">
      <c r="A275" s="3"/>
      <c r="B275" s="13" t="s">
        <v>221</v>
      </c>
      <c r="C275" s="7">
        <v>15.0127</v>
      </c>
      <c r="D275" s="7">
        <v>14.5642</v>
      </c>
      <c r="E275" s="7">
        <v>16.245056103884668</v>
      </c>
      <c r="F275" s="7"/>
      <c r="G275" s="7"/>
      <c r="H275" s="7"/>
      <c r="I275" s="7">
        <v>16.452172519105694</v>
      </c>
      <c r="J275" s="7">
        <v>16.560475</v>
      </c>
      <c r="K275" s="7"/>
      <c r="L275" s="7"/>
      <c r="M275" s="7">
        <v>16.812451250000002</v>
      </c>
      <c r="N275" s="7">
        <v>16.158800000000003</v>
      </c>
      <c r="O275" s="8">
        <v>11.292139266814612</v>
      </c>
      <c r="P275" s="7"/>
      <c r="Q275" s="7">
        <v>11.8089</v>
      </c>
      <c r="R275" s="15"/>
      <c r="S275" s="8"/>
    </row>
    <row r="276" spans="1:19" s="12" customFormat="1" ht="16.5" customHeight="1" hidden="1">
      <c r="A276" s="3"/>
      <c r="B276" s="13" t="s">
        <v>216</v>
      </c>
      <c r="C276" s="7">
        <v>14.9691</v>
      </c>
      <c r="D276" s="7">
        <v>14.5213</v>
      </c>
      <c r="E276" s="7">
        <v>15.62648696699039</v>
      </c>
      <c r="F276" s="7"/>
      <c r="G276" s="7"/>
      <c r="H276" s="7">
        <v>15.205490024728453</v>
      </c>
      <c r="I276" s="7">
        <v>16.487281061858873</v>
      </c>
      <c r="J276" s="7">
        <v>16.729657142857143</v>
      </c>
      <c r="K276" s="7"/>
      <c r="L276" s="7"/>
      <c r="M276" s="7">
        <v>17.122174285714287</v>
      </c>
      <c r="N276" s="7">
        <v>16.32881428571429</v>
      </c>
      <c r="O276" s="8">
        <v>11.252999261264062</v>
      </c>
      <c r="P276" s="7"/>
      <c r="Q276" s="7">
        <v>11.698499999999997</v>
      </c>
      <c r="R276" s="15"/>
      <c r="S276" s="8"/>
    </row>
    <row r="277" spans="1:19" ht="16.5" customHeight="1" hidden="1">
      <c r="A277" s="3"/>
      <c r="B277" s="13" t="s">
        <v>217</v>
      </c>
      <c r="C277" s="7">
        <v>15.0416</v>
      </c>
      <c r="D277" s="7">
        <v>14.5943</v>
      </c>
      <c r="E277" s="7">
        <v>15.673516200947448</v>
      </c>
      <c r="F277" s="7"/>
      <c r="G277" s="7"/>
      <c r="H277" s="7">
        <v>15.270946200947444</v>
      </c>
      <c r="I277" s="7">
        <v>16.15277334575447</v>
      </c>
      <c r="J277" s="7">
        <v>16.102700000000002</v>
      </c>
      <c r="K277" s="7"/>
      <c r="L277" s="7"/>
      <c r="M277" s="7">
        <v>16.526565</v>
      </c>
      <c r="N277" s="7">
        <v>15.701857142857142</v>
      </c>
      <c r="O277" s="8">
        <v>10.644868969494167</v>
      </c>
      <c r="P277" s="7"/>
      <c r="Q277" s="7">
        <v>11.686499999999999</v>
      </c>
      <c r="R277" s="15"/>
      <c r="S277" s="8"/>
    </row>
    <row r="278" spans="1:19" ht="16.5" customHeight="1" hidden="1">
      <c r="A278" s="3"/>
      <c r="B278" s="13" t="s">
        <v>218</v>
      </c>
      <c r="C278" s="7">
        <v>15.8528</v>
      </c>
      <c r="D278" s="7">
        <v>15.4059</v>
      </c>
      <c r="E278" s="7">
        <v>16.40331032441719</v>
      </c>
      <c r="F278" s="7"/>
      <c r="G278" s="7"/>
      <c r="H278" s="7">
        <v>16.00107461013148</v>
      </c>
      <c r="I278" s="7">
        <v>16.43429107317178</v>
      </c>
      <c r="J278" s="7">
        <v>16.191157142857143</v>
      </c>
      <c r="K278" s="7"/>
      <c r="L278" s="7"/>
      <c r="M278" s="7">
        <v>16.627099285714284</v>
      </c>
      <c r="N278" s="7">
        <v>15.790957142857144</v>
      </c>
      <c r="O278" s="8">
        <v>10.587130483446083</v>
      </c>
      <c r="P278" s="7"/>
      <c r="Q278" s="7">
        <v>11.675600000000001</v>
      </c>
      <c r="R278" s="15"/>
      <c r="S278" s="8"/>
    </row>
    <row r="279" spans="1:19" ht="16.5" customHeight="1" hidden="1">
      <c r="A279" s="3"/>
      <c r="B279" s="13" t="s">
        <v>219</v>
      </c>
      <c r="C279" s="7">
        <v>16.6144</v>
      </c>
      <c r="D279" s="7">
        <v>16.169</v>
      </c>
      <c r="E279" s="7">
        <v>17.087919190861978</v>
      </c>
      <c r="F279" s="7"/>
      <c r="G279" s="7"/>
      <c r="H279" s="7">
        <v>16.687089190861972</v>
      </c>
      <c r="I279" s="7">
        <v>16.976916090990287</v>
      </c>
      <c r="J279" s="7">
        <v>16.660333333333334</v>
      </c>
      <c r="K279" s="7"/>
      <c r="L279" s="7"/>
      <c r="M279" s="7">
        <v>17.059816666666666</v>
      </c>
      <c r="N279" s="7">
        <v>16.2621</v>
      </c>
      <c r="O279" s="8">
        <v>10.81353582614643</v>
      </c>
      <c r="P279" s="7"/>
      <c r="Q279" s="7">
        <v>11.6562</v>
      </c>
      <c r="R279" s="15"/>
      <c r="S279" s="8"/>
    </row>
    <row r="280" spans="1:19" ht="16.5" customHeight="1" hidden="1">
      <c r="A280" s="3"/>
      <c r="B280" s="4" t="s">
        <v>13</v>
      </c>
      <c r="C280" s="11">
        <f>(C275*4+C276*7+C277*7+C278*7+C279*3)/28</f>
        <v>15.390660714285714</v>
      </c>
      <c r="D280" s="11">
        <f aca="true" t="shared" si="30" ref="D280:Q280">(D275*4+D276*7+D277*7+D278*7+D279*3)/28</f>
        <v>14.943367857142858</v>
      </c>
      <c r="E280" s="11">
        <f t="shared" si="30"/>
        <v>16.07739915837892</v>
      </c>
      <c r="F280" s="11"/>
      <c r="G280" s="11"/>
      <c r="H280" s="11">
        <f>(H276*7+H277*7+H278*7+H279*3)/24</f>
        <v>15.641826809301563</v>
      </c>
      <c r="I280" s="11">
        <f t="shared" si="30"/>
        <v>16.437852025531765</v>
      </c>
      <c r="J280" s="11">
        <f t="shared" si="30"/>
        <v>16.40669642857143</v>
      </c>
      <c r="K280" s="11"/>
      <c r="L280" s="11"/>
      <c r="M280" s="11">
        <f t="shared" si="30"/>
        <v>16.79857589285714</v>
      </c>
      <c r="N280" s="11">
        <f t="shared" si="30"/>
        <v>16.006175000000002</v>
      </c>
      <c r="O280" s="38">
        <f t="shared" si="30"/>
        <v>10.893005555183139</v>
      </c>
      <c r="P280" s="11"/>
      <c r="Q280" s="11">
        <f t="shared" si="30"/>
        <v>11.701014285714283</v>
      </c>
      <c r="R280" s="15"/>
      <c r="S280" s="8"/>
    </row>
    <row r="281" spans="1:19" s="12" customFormat="1" ht="16.5" customHeight="1" hidden="1">
      <c r="A281" s="3"/>
      <c r="B281" s="13" t="s">
        <v>54</v>
      </c>
      <c r="C281" s="7">
        <v>17.251350000000002</v>
      </c>
      <c r="D281" s="7">
        <v>16.807975</v>
      </c>
      <c r="E281" s="7">
        <v>17.660164466612994</v>
      </c>
      <c r="F281" s="7"/>
      <c r="G281" s="7"/>
      <c r="H281" s="7">
        <v>17.26112696661299</v>
      </c>
      <c r="I281" s="7">
        <v>16.879042900842222</v>
      </c>
      <c r="J281" s="7">
        <v>16.6002</v>
      </c>
      <c r="K281" s="7"/>
      <c r="L281" s="7"/>
      <c r="M281" s="7">
        <v>17.00269</v>
      </c>
      <c r="N281" s="7">
        <v>16.14885</v>
      </c>
      <c r="O281" s="8">
        <v>10.888938020488894</v>
      </c>
      <c r="P281" s="7"/>
      <c r="Q281" s="7">
        <v>11.8028</v>
      </c>
      <c r="R281" s="15"/>
      <c r="S281" s="8"/>
    </row>
    <row r="282" spans="1:19" s="12" customFormat="1" ht="16.5" customHeight="1" hidden="1">
      <c r="A282" s="3"/>
      <c r="B282" s="13" t="s">
        <v>222</v>
      </c>
      <c r="C282" s="7">
        <v>17.34617142857143</v>
      </c>
      <c r="D282" s="7">
        <v>16.904685714285712</v>
      </c>
      <c r="E282" s="7">
        <v>17.744620159369138</v>
      </c>
      <c r="F282" s="7"/>
      <c r="G282" s="7"/>
      <c r="H282" s="7">
        <v>17.347283016511994</v>
      </c>
      <c r="I282" s="7">
        <v>16.851680778200507</v>
      </c>
      <c r="J282" s="7">
        <v>16.63435714285714</v>
      </c>
      <c r="K282" s="7"/>
      <c r="L282" s="7"/>
      <c r="M282" s="7">
        <v>17.035139285714283</v>
      </c>
      <c r="N282" s="7">
        <v>16.18507142857143</v>
      </c>
      <c r="O282" s="8">
        <v>10.952771256851523</v>
      </c>
      <c r="P282" s="7"/>
      <c r="Q282" s="7">
        <v>11.7372</v>
      </c>
      <c r="R282" s="15"/>
      <c r="S282" s="8"/>
    </row>
    <row r="283" spans="1:19" ht="16.5" customHeight="1" hidden="1">
      <c r="A283" s="3"/>
      <c r="B283" s="13" t="s">
        <v>223</v>
      </c>
      <c r="C283" s="7">
        <v>17.11767142857143</v>
      </c>
      <c r="D283" s="7">
        <v>16.6786</v>
      </c>
      <c r="E283" s="7">
        <v>17.5378859262747</v>
      </c>
      <c r="F283" s="7"/>
      <c r="G283" s="7"/>
      <c r="H283" s="7">
        <v>17.341703281120832</v>
      </c>
      <c r="I283" s="7">
        <v>16.60156775091474</v>
      </c>
      <c r="J283" s="7">
        <v>16.621685714285714</v>
      </c>
      <c r="K283" s="7"/>
      <c r="L283" s="7"/>
      <c r="M283" s="7">
        <v>17.020601428571428</v>
      </c>
      <c r="N283" s="7">
        <v>16.174885714285715</v>
      </c>
      <c r="O283" s="8">
        <v>10.858303665903874</v>
      </c>
      <c r="P283" s="7"/>
      <c r="Q283" s="7">
        <v>11.3987</v>
      </c>
      <c r="R283" s="15"/>
      <c r="S283" s="8"/>
    </row>
    <row r="284" spans="1:19" ht="16.5" customHeight="1" hidden="1">
      <c r="A284" s="3"/>
      <c r="B284" s="13" t="s">
        <v>224</v>
      </c>
      <c r="C284" s="7">
        <v>17.00384285714286</v>
      </c>
      <c r="D284" s="7">
        <v>16.56714285714286</v>
      </c>
      <c r="E284" s="7">
        <v>17.43436673469388</v>
      </c>
      <c r="F284" s="7"/>
      <c r="G284" s="7"/>
      <c r="H284" s="7">
        <v>17.239244897959185</v>
      </c>
      <c r="I284" s="7">
        <v>16.6803512088548</v>
      </c>
      <c r="J284" s="7">
        <v>16.702785714285714</v>
      </c>
      <c r="K284" s="7"/>
      <c r="L284" s="7"/>
      <c r="M284" s="7">
        <v>17.09514642857143</v>
      </c>
      <c r="N284" s="7">
        <v>16.258499999999998</v>
      </c>
      <c r="O284" s="8">
        <v>11.186247168359612</v>
      </c>
      <c r="P284" s="7"/>
      <c r="Q284" s="7">
        <v>11.3543</v>
      </c>
      <c r="R284" s="15"/>
      <c r="S284" s="8"/>
    </row>
    <row r="285" spans="1:19" ht="16.5" customHeight="1" hidden="1">
      <c r="A285" s="3"/>
      <c r="B285" s="13" t="s">
        <v>225</v>
      </c>
      <c r="C285" s="7">
        <v>17.810799999999997</v>
      </c>
      <c r="D285" s="7">
        <v>17.371783333333333</v>
      </c>
      <c r="E285" s="7">
        <v>18.121975367282243</v>
      </c>
      <c r="F285" s="7"/>
      <c r="G285" s="7"/>
      <c r="H285" s="7">
        <v>17.9653004913702</v>
      </c>
      <c r="I285" s="7">
        <v>17.551647994032944</v>
      </c>
      <c r="J285" s="7">
        <v>17.634116666666667</v>
      </c>
      <c r="K285" s="7"/>
      <c r="L285" s="7"/>
      <c r="M285" s="7">
        <v>17.97991083333333</v>
      </c>
      <c r="N285" s="7">
        <v>17.188366666666667</v>
      </c>
      <c r="O285" s="8">
        <v>11.860241442624902</v>
      </c>
      <c r="P285" s="7"/>
      <c r="Q285" s="7">
        <v>11.3543</v>
      </c>
      <c r="R285" s="15"/>
      <c r="S285" s="8"/>
    </row>
    <row r="286" spans="1:19" ht="16.5" customHeight="1" hidden="1">
      <c r="A286" s="3"/>
      <c r="B286" s="4" t="s">
        <v>13</v>
      </c>
      <c r="C286" s="11">
        <f>(C281*4+C282*7+C283*7+C284*7+C285*6)/31</f>
        <v>17.294967741935483</v>
      </c>
      <c r="D286" s="11">
        <f aca="true" t="shared" si="31" ref="D286:Q286">(D281*4+D282*7+D283*7+D284*7+D285*6)/31</f>
        <v>16.85534193548387</v>
      </c>
      <c r="E286" s="11">
        <f t="shared" si="31"/>
        <v>17.690019993951918</v>
      </c>
      <c r="F286" s="11"/>
      <c r="G286" s="11"/>
      <c r="H286" s="11">
        <f t="shared" si="31"/>
        <v>17.430126747865074</v>
      </c>
      <c r="I286" s="11">
        <f t="shared" si="31"/>
        <v>16.89552444301151</v>
      </c>
      <c r="J286" s="11">
        <f t="shared" si="31"/>
        <v>16.83604193548387</v>
      </c>
      <c r="K286" s="11"/>
      <c r="L286" s="11"/>
      <c r="M286" s="11">
        <f t="shared" si="31"/>
        <v>17.224078548387094</v>
      </c>
      <c r="N286" s="11">
        <f t="shared" si="31"/>
        <v>16.38886451612903</v>
      </c>
      <c r="O286" s="38">
        <f t="shared" si="31"/>
        <v>11.151563076629358</v>
      </c>
      <c r="P286" s="11"/>
      <c r="Q286" s="11">
        <f t="shared" si="31"/>
        <v>11.50865806451613</v>
      </c>
      <c r="R286" s="15"/>
      <c r="S286" s="8"/>
    </row>
    <row r="287" spans="1:19" s="12" customFormat="1" ht="16.5" customHeight="1" hidden="1">
      <c r="A287" s="3"/>
      <c r="B287" s="13" t="s">
        <v>226</v>
      </c>
      <c r="C287" s="7">
        <v>18.3253</v>
      </c>
      <c r="D287" s="7">
        <v>17.8863</v>
      </c>
      <c r="E287" s="7">
        <v>18.5536</v>
      </c>
      <c r="F287" s="7"/>
      <c r="G287" s="7"/>
      <c r="H287" s="7">
        <v>18.35732095858703</v>
      </c>
      <c r="I287" s="7">
        <v>17.8736</v>
      </c>
      <c r="J287" s="7">
        <v>18.0981</v>
      </c>
      <c r="K287" s="7"/>
      <c r="L287" s="7"/>
      <c r="M287" s="7">
        <v>18.420695</v>
      </c>
      <c r="N287" s="7">
        <v>17.6436</v>
      </c>
      <c r="O287" s="8">
        <v>12.1786</v>
      </c>
      <c r="P287" s="7"/>
      <c r="Q287" s="7">
        <v>11.3225</v>
      </c>
      <c r="R287" s="15"/>
      <c r="S287" s="8"/>
    </row>
    <row r="288" spans="1:19" s="12" customFormat="1" ht="16.5" customHeight="1" hidden="1">
      <c r="A288" s="3"/>
      <c r="B288" s="13" t="s">
        <v>227</v>
      </c>
      <c r="C288" s="7">
        <v>18.386</v>
      </c>
      <c r="D288" s="7">
        <v>17.9474</v>
      </c>
      <c r="E288" s="7">
        <v>18.608</v>
      </c>
      <c r="F288" s="7"/>
      <c r="G288" s="7"/>
      <c r="H288" s="7">
        <v>18.411874577855095</v>
      </c>
      <c r="I288" s="7">
        <v>17.9361</v>
      </c>
      <c r="J288" s="7">
        <v>18.0566</v>
      </c>
      <c r="K288" s="7"/>
      <c r="L288" s="7"/>
      <c r="M288" s="7">
        <v>18.38129714285714</v>
      </c>
      <c r="N288" s="7">
        <v>17.6027</v>
      </c>
      <c r="O288" s="8">
        <v>12.2815</v>
      </c>
      <c r="P288" s="7"/>
      <c r="Q288" s="7">
        <v>11.3856</v>
      </c>
      <c r="R288" s="15"/>
      <c r="S288" s="8"/>
    </row>
    <row r="289" spans="1:19" ht="16.5" customHeight="1" hidden="1">
      <c r="A289" s="3"/>
      <c r="B289" s="13" t="s">
        <v>228</v>
      </c>
      <c r="C289" s="7">
        <v>18.6148</v>
      </c>
      <c r="D289" s="7">
        <v>18.4262</v>
      </c>
      <c r="E289" s="7">
        <v>18.8138</v>
      </c>
      <c r="F289" s="7"/>
      <c r="G289" s="7"/>
      <c r="H289" s="7">
        <v>18.617679171524895</v>
      </c>
      <c r="I289" s="7">
        <v>18.5727</v>
      </c>
      <c r="J289" s="7">
        <v>18.3978</v>
      </c>
      <c r="K289" s="7"/>
      <c r="L289" s="7"/>
      <c r="M289" s="7">
        <v>18.734937142857145</v>
      </c>
      <c r="N289" s="7">
        <v>17.9443</v>
      </c>
      <c r="O289" s="8">
        <v>12.3928</v>
      </c>
      <c r="P289" s="7"/>
      <c r="Q289" s="7">
        <v>11.3777</v>
      </c>
      <c r="R289" s="15"/>
      <c r="S289" s="8"/>
    </row>
    <row r="290" spans="1:19" ht="16.5" customHeight="1" hidden="1">
      <c r="A290" s="3"/>
      <c r="B290" s="13" t="s">
        <v>229</v>
      </c>
      <c r="C290" s="7">
        <v>18.6107</v>
      </c>
      <c r="D290" s="7">
        <v>18.1738</v>
      </c>
      <c r="E290" s="7">
        <v>18.8094</v>
      </c>
      <c r="F290" s="7"/>
      <c r="G290" s="7"/>
      <c r="H290" s="7">
        <v>18.613990638842363</v>
      </c>
      <c r="I290" s="7">
        <v>18.0049</v>
      </c>
      <c r="J290" s="7">
        <v>18.1326</v>
      </c>
      <c r="K290" s="7"/>
      <c r="L290" s="7"/>
      <c r="M290" s="7">
        <v>18.507497142857144</v>
      </c>
      <c r="N290" s="7">
        <v>17.6807</v>
      </c>
      <c r="O290" s="8">
        <v>12.1583</v>
      </c>
      <c r="P290" s="7"/>
      <c r="Q290" s="7">
        <v>11.3671</v>
      </c>
      <c r="R290" s="15"/>
      <c r="S290" s="8"/>
    </row>
    <row r="291" spans="1:19" ht="16.5" customHeight="1" hidden="1">
      <c r="A291" s="3"/>
      <c r="B291" s="13" t="s">
        <v>118</v>
      </c>
      <c r="C291" s="7">
        <v>19.261</v>
      </c>
      <c r="D291" s="7">
        <v>18.824</v>
      </c>
      <c r="E291" s="7">
        <v>19.3947</v>
      </c>
      <c r="F291" s="7"/>
      <c r="G291" s="7"/>
      <c r="H291" s="7">
        <v>19.199131099553597</v>
      </c>
      <c r="I291" s="7">
        <v>18.2629</v>
      </c>
      <c r="J291" s="7">
        <v>18.3895</v>
      </c>
      <c r="K291" s="7"/>
      <c r="L291" s="7"/>
      <c r="M291" s="7">
        <v>18.788038571428576</v>
      </c>
      <c r="N291" s="7">
        <v>17.9377</v>
      </c>
      <c r="O291" s="8">
        <v>12.4497</v>
      </c>
      <c r="P291" s="7"/>
      <c r="Q291" s="7">
        <v>11.3205</v>
      </c>
      <c r="R291" s="15"/>
      <c r="S291" s="8"/>
    </row>
    <row r="292" spans="1:19" ht="16.5" customHeight="1" hidden="1">
      <c r="A292" s="3"/>
      <c r="B292" s="13" t="s">
        <v>120</v>
      </c>
      <c r="C292" s="7">
        <v>19.3764</v>
      </c>
      <c r="D292" s="7">
        <v>18.9397</v>
      </c>
      <c r="E292" s="7">
        <v>19.4984</v>
      </c>
      <c r="F292" s="7"/>
      <c r="G292" s="7"/>
      <c r="H292" s="7">
        <v>19.30296939515926</v>
      </c>
      <c r="I292" s="7">
        <v>18.4784</v>
      </c>
      <c r="J292" s="7">
        <v>18.4391</v>
      </c>
      <c r="K292" s="7"/>
      <c r="L292" s="7"/>
      <c r="M292" s="7">
        <v>18.882645</v>
      </c>
      <c r="N292" s="7">
        <v>17.9877</v>
      </c>
      <c r="O292" s="8">
        <v>12.6146</v>
      </c>
      <c r="P292" s="7"/>
      <c r="Q292" s="7">
        <v>11.3259</v>
      </c>
      <c r="R292" s="15"/>
      <c r="S292" s="8"/>
    </row>
    <row r="293" spans="1:19" ht="16.5" customHeight="1" hidden="1">
      <c r="A293" s="3"/>
      <c r="B293" s="4" t="s">
        <v>13</v>
      </c>
      <c r="C293" s="11">
        <f>(C287*1+C288*7+C289*7+C290*7+C291*7+C292*1)/30</f>
        <v>18.726973333333333</v>
      </c>
      <c r="D293" s="11">
        <f aca="true" t="shared" si="32" ref="D293:Q293">(D287*1+D288*7+D289*7+D290*7+D291*7+D292*1)/30</f>
        <v>18.347526666666667</v>
      </c>
      <c r="E293" s="11">
        <f t="shared" si="32"/>
        <v>18.91444333333333</v>
      </c>
      <c r="F293" s="11"/>
      <c r="G293" s="11"/>
      <c r="H293" s="11">
        <f t="shared" si="32"/>
        <v>18.718633958939265</v>
      </c>
      <c r="I293" s="11">
        <f t="shared" si="32"/>
        <v>18.19294</v>
      </c>
      <c r="J293" s="11">
        <f t="shared" si="32"/>
        <v>18.245756666666672</v>
      </c>
      <c r="K293" s="11"/>
      <c r="L293" s="11"/>
      <c r="M293" s="11">
        <f t="shared" si="32"/>
        <v>18.606191000000003</v>
      </c>
      <c r="N293" s="11">
        <f t="shared" si="32"/>
        <v>17.79297</v>
      </c>
      <c r="O293" s="38">
        <f t="shared" si="32"/>
        <v>12.325643333333334</v>
      </c>
      <c r="P293" s="11"/>
      <c r="Q293" s="11">
        <f t="shared" si="32"/>
        <v>11.360156666666667</v>
      </c>
      <c r="R293" s="15"/>
      <c r="S293" s="8"/>
    </row>
    <row r="294" spans="1:19" s="12" customFormat="1" ht="16.5" customHeight="1" hidden="1">
      <c r="A294" s="3"/>
      <c r="B294" s="13" t="s">
        <v>230</v>
      </c>
      <c r="C294" s="7">
        <v>19.3714</v>
      </c>
      <c r="D294" s="7">
        <v>18.945600000000002</v>
      </c>
      <c r="E294" s="7">
        <v>19.493719119911436</v>
      </c>
      <c r="F294" s="7"/>
      <c r="G294" s="7"/>
      <c r="H294" s="7">
        <v>19.308048239822877</v>
      </c>
      <c r="I294" s="7">
        <v>18.361118066136637</v>
      </c>
      <c r="J294" s="7">
        <v>18.212966666666667</v>
      </c>
      <c r="K294" s="7"/>
      <c r="L294" s="7"/>
      <c r="M294" s="7">
        <v>18.667818333333333</v>
      </c>
      <c r="N294" s="7">
        <v>17.77255</v>
      </c>
      <c r="O294" s="8">
        <v>12.505086541760292</v>
      </c>
      <c r="P294" s="7"/>
      <c r="Q294" s="7">
        <v>11.325900000000003</v>
      </c>
      <c r="R294" s="15"/>
      <c r="S294" s="8"/>
    </row>
    <row r="295" spans="1:19" s="12" customFormat="1" ht="16.5" customHeight="1" hidden="1">
      <c r="A295" s="3"/>
      <c r="B295" s="13" t="s">
        <v>122</v>
      </c>
      <c r="C295" s="7">
        <v>19.5063</v>
      </c>
      <c r="D295" s="7">
        <v>19.082271428571428</v>
      </c>
      <c r="E295" s="7">
        <v>19.61433178447427</v>
      </c>
      <c r="F295" s="7"/>
      <c r="G295" s="7"/>
      <c r="H295" s="7">
        <v>19.42936785466282</v>
      </c>
      <c r="I295" s="7">
        <v>17.97930694209121</v>
      </c>
      <c r="J295" s="7">
        <f>AVERAGE(J288:J294)</f>
        <v>18.267760476190478</v>
      </c>
      <c r="K295" s="7"/>
      <c r="L295" s="7"/>
      <c r="M295" s="7">
        <v>18.702104999999996</v>
      </c>
      <c r="N295" s="7">
        <v>17.760257142857142</v>
      </c>
      <c r="O295" s="8">
        <v>12.231193992282996</v>
      </c>
      <c r="P295" s="7"/>
      <c r="Q295" s="7">
        <v>11.248199999999999</v>
      </c>
      <c r="R295" s="15"/>
      <c r="S295" s="8"/>
    </row>
    <row r="296" spans="1:19" s="12" customFormat="1" ht="16.5" customHeight="1" hidden="1">
      <c r="A296" s="3"/>
      <c r="B296" s="13" t="s">
        <v>124</v>
      </c>
      <c r="C296" s="7">
        <v>20.0808</v>
      </c>
      <c r="D296" s="7">
        <v>19.6572</v>
      </c>
      <c r="E296" s="7">
        <v>20.131163025425742</v>
      </c>
      <c r="F296" s="7"/>
      <c r="G296" s="7"/>
      <c r="H296" s="7">
        <v>19.946288907994337</v>
      </c>
      <c r="I296" s="7">
        <v>18.247164962709633</v>
      </c>
      <c r="J296" s="7">
        <v>18.528685714285718</v>
      </c>
      <c r="K296" s="7"/>
      <c r="L296" s="7"/>
      <c r="M296" s="7">
        <v>19.003751428571427</v>
      </c>
      <c r="N296" s="7">
        <v>18.091057142857142</v>
      </c>
      <c r="O296" s="8">
        <v>12.192701258440023</v>
      </c>
      <c r="P296" s="7"/>
      <c r="Q296" s="7">
        <v>11.2004</v>
      </c>
      <c r="R296" s="15"/>
      <c r="S296" s="8"/>
    </row>
    <row r="297" spans="1:19" s="12" customFormat="1" ht="16.5" customHeight="1" hidden="1">
      <c r="A297" s="3"/>
      <c r="B297" s="13" t="s">
        <v>231</v>
      </c>
      <c r="C297" s="7">
        <v>19.9198</v>
      </c>
      <c r="D297" s="7">
        <v>19.49602857142857</v>
      </c>
      <c r="E297" s="7">
        <v>19.986362981575866</v>
      </c>
      <c r="F297" s="7"/>
      <c r="G297" s="7"/>
      <c r="H297" s="7">
        <v>19.8014345345803</v>
      </c>
      <c r="I297" s="7">
        <v>18.460726701069653</v>
      </c>
      <c r="J297" s="7">
        <v>18.68562857142857</v>
      </c>
      <c r="K297" s="7"/>
      <c r="L297" s="7"/>
      <c r="M297" s="7">
        <v>19.20134714285714</v>
      </c>
      <c r="N297" s="7">
        <v>18.247899999999998</v>
      </c>
      <c r="O297" s="8">
        <v>12.24196818436972</v>
      </c>
      <c r="P297" s="7"/>
      <c r="Q297" s="7">
        <v>11.179</v>
      </c>
      <c r="R297" s="15"/>
      <c r="S297" s="8"/>
    </row>
    <row r="298" spans="1:19" s="12" customFormat="1" ht="16.5" customHeight="1" hidden="1">
      <c r="A298" s="3"/>
      <c r="B298" s="13" t="s">
        <v>232</v>
      </c>
      <c r="C298" s="7">
        <v>19.275599999999997</v>
      </c>
      <c r="D298" s="7">
        <v>18.851575</v>
      </c>
      <c r="E298" s="7">
        <v>19.406740359784635</v>
      </c>
      <c r="F298" s="7"/>
      <c r="G298" s="7"/>
      <c r="H298" s="7">
        <v>19.221818219569265</v>
      </c>
      <c r="I298" s="7">
        <v>18.289391815811655</v>
      </c>
      <c r="J298" s="7">
        <v>18.358725</v>
      </c>
      <c r="K298" s="7"/>
      <c r="L298" s="7"/>
      <c r="M298" s="7">
        <v>18.92178875</v>
      </c>
      <c r="N298" s="7">
        <v>17.9203</v>
      </c>
      <c r="O298" s="8">
        <v>11.962531320365585</v>
      </c>
      <c r="P298" s="7"/>
      <c r="Q298" s="7">
        <v>11.1899</v>
      </c>
      <c r="R298" s="15"/>
      <c r="S298" s="8"/>
    </row>
    <row r="299" spans="1:19" s="12" customFormat="1" ht="16.5" customHeight="1" hidden="1">
      <c r="A299" s="3"/>
      <c r="B299" s="4" t="s">
        <v>13</v>
      </c>
      <c r="C299" s="11">
        <f>(C294*6+C295*7+C296*7+C297*7+C298*4)/31</f>
        <v>19.673519354838707</v>
      </c>
      <c r="D299" s="11">
        <f aca="true" t="shared" si="33" ref="D299:Q299">(D294*6+D295*7+D296*7+D297*7+D298*4)/31</f>
        <v>19.249303225806454</v>
      </c>
      <c r="E299" s="11">
        <f t="shared" si="33"/>
        <v>19.764912280610915</v>
      </c>
      <c r="F299" s="11"/>
      <c r="G299" s="11"/>
      <c r="H299" s="11">
        <f t="shared" si="33"/>
        <v>19.579845206383112</v>
      </c>
      <c r="I299" s="11">
        <f t="shared" si="33"/>
        <v>18.26240857745677</v>
      </c>
      <c r="J299" s="11">
        <f t="shared" si="33"/>
        <v>18.422168494623655</v>
      </c>
      <c r="K299" s="11"/>
      <c r="L299" s="11"/>
      <c r="M299" s="11">
        <f t="shared" si="33"/>
        <v>18.904660967741936</v>
      </c>
      <c r="N299" s="11">
        <f t="shared" si="33"/>
        <v>17.968096774193548</v>
      </c>
      <c r="O299" s="38">
        <f t="shared" si="33"/>
        <v>12.243280276699137</v>
      </c>
      <c r="P299" s="11"/>
      <c r="Q299" s="11">
        <f t="shared" si="33"/>
        <v>11.229296774193546</v>
      </c>
      <c r="R299" s="15"/>
      <c r="S299" s="8"/>
    </row>
    <row r="300" spans="1:19" s="12" customFormat="1" ht="16.5" customHeight="1" hidden="1">
      <c r="A300" s="3"/>
      <c r="B300" s="13" t="s">
        <v>233</v>
      </c>
      <c r="C300" s="7">
        <v>19.005966666666666</v>
      </c>
      <c r="D300" s="7">
        <v>18.578233333333333</v>
      </c>
      <c r="E300" s="7">
        <v>19.163835996578275</v>
      </c>
      <c r="F300" s="7"/>
      <c r="G300" s="7"/>
      <c r="H300" s="14">
        <v>18.975341993156544</v>
      </c>
      <c r="I300" s="7">
        <v>18.20654936672873</v>
      </c>
      <c r="J300" s="7">
        <v>18.070066666666666</v>
      </c>
      <c r="K300" s="7"/>
      <c r="L300" s="7"/>
      <c r="M300" s="7">
        <v>18.647563333333334</v>
      </c>
      <c r="N300" s="7">
        <v>17.6168</v>
      </c>
      <c r="O300" s="8">
        <v>12.09612274986751</v>
      </c>
      <c r="P300" s="7"/>
      <c r="Q300" s="7">
        <v>11.1501</v>
      </c>
      <c r="R300" s="15"/>
      <c r="S300" s="8"/>
    </row>
    <row r="301" spans="1:19" s="12" customFormat="1" ht="16.5" customHeight="1" hidden="1">
      <c r="A301" s="3"/>
      <c r="B301" s="13" t="s">
        <v>234</v>
      </c>
      <c r="C301" s="7">
        <v>18.874271428571426</v>
      </c>
      <c r="D301" s="7">
        <v>18.446814285714286</v>
      </c>
      <c r="E301" s="7">
        <v>19.045215016641386</v>
      </c>
      <c r="F301" s="7"/>
      <c r="G301" s="7"/>
      <c r="H301" s="14">
        <v>18.856874318997058</v>
      </c>
      <c r="I301" s="7">
        <v>18.34170172784683</v>
      </c>
      <c r="J301" s="7">
        <v>18.258785714285715</v>
      </c>
      <c r="K301" s="7"/>
      <c r="L301" s="7"/>
      <c r="M301" s="7">
        <v>18.323560714285716</v>
      </c>
      <c r="N301" s="7">
        <v>17.80594285714286</v>
      </c>
      <c r="O301" s="8">
        <v>12.45038990412012</v>
      </c>
      <c r="P301" s="7"/>
      <c r="Q301" s="7">
        <v>11.156699999999999</v>
      </c>
      <c r="R301" s="15"/>
      <c r="S301" s="8"/>
    </row>
    <row r="302" spans="1:19" s="12" customFormat="1" ht="16.5" customHeight="1" hidden="1">
      <c r="A302" s="3"/>
      <c r="B302" s="13" t="s">
        <v>235</v>
      </c>
      <c r="C302" s="7">
        <v>18.67505714285714</v>
      </c>
      <c r="D302" s="7">
        <v>18.246871428571428</v>
      </c>
      <c r="E302" s="7">
        <v>18.86628357053001</v>
      </c>
      <c r="F302" s="7"/>
      <c r="G302" s="7"/>
      <c r="H302" s="14">
        <v>18.677648569631447</v>
      </c>
      <c r="I302" s="7">
        <v>18.46962460261051</v>
      </c>
      <c r="J302" s="7">
        <v>18.485214285714285</v>
      </c>
      <c r="K302" s="7"/>
      <c r="L302" s="7"/>
      <c r="M302" s="7">
        <v>18.174453571428565</v>
      </c>
      <c r="N302" s="7">
        <v>18.03167142857143</v>
      </c>
      <c r="O302" s="8">
        <v>12.764938494539008</v>
      </c>
      <c r="P302" s="7"/>
      <c r="Q302" s="7">
        <v>11.139371428571428</v>
      </c>
      <c r="R302" s="15"/>
      <c r="S302" s="8"/>
    </row>
    <row r="303" spans="1:19" s="12" customFormat="1" ht="16.5" customHeight="1" hidden="1">
      <c r="A303" s="3"/>
      <c r="B303" s="13" t="s">
        <v>236</v>
      </c>
      <c r="C303" s="7">
        <v>18.6748</v>
      </c>
      <c r="D303" s="7">
        <v>18.24695714285714</v>
      </c>
      <c r="E303" s="7">
        <v>18.865890481486012</v>
      </c>
      <c r="F303" s="7"/>
      <c r="G303" s="7"/>
      <c r="H303" s="14">
        <v>18.677402391543446</v>
      </c>
      <c r="I303" s="7">
        <v>18.84832270195204</v>
      </c>
      <c r="J303" s="7">
        <v>18.628885714285712</v>
      </c>
      <c r="K303" s="7"/>
      <c r="L303" s="7"/>
      <c r="M303" s="7">
        <v>18.331941428571422</v>
      </c>
      <c r="N303" s="7">
        <v>18.175857142857144</v>
      </c>
      <c r="O303" s="8">
        <v>12.801267125216913</v>
      </c>
      <c r="P303" s="7"/>
      <c r="Q303" s="7">
        <v>11.1631</v>
      </c>
      <c r="R303" s="15"/>
      <c r="S303" s="8"/>
    </row>
    <row r="304" spans="1:19" s="12" customFormat="1" ht="16.5" customHeight="1" hidden="1">
      <c r="A304" s="3"/>
      <c r="B304" s="13" t="s">
        <v>132</v>
      </c>
      <c r="C304" s="7">
        <v>19.0919</v>
      </c>
      <c r="D304" s="7">
        <v>18.6645</v>
      </c>
      <c r="E304" s="7">
        <v>19.241006168167868</v>
      </c>
      <c r="F304" s="7"/>
      <c r="G304" s="7"/>
      <c r="H304" s="14">
        <v>19.052642336335733</v>
      </c>
      <c r="I304" s="7">
        <v>18.81526129853738</v>
      </c>
      <c r="J304" s="7">
        <v>18.390816666666666</v>
      </c>
      <c r="K304" s="7"/>
      <c r="L304" s="7"/>
      <c r="M304" s="7">
        <v>18.155775833333333</v>
      </c>
      <c r="N304" s="7">
        <v>17.938266666666664</v>
      </c>
      <c r="O304" s="8">
        <v>12.888064857010933</v>
      </c>
      <c r="P304" s="7"/>
      <c r="Q304" s="7">
        <v>11.153999999999998</v>
      </c>
      <c r="R304" s="15"/>
      <c r="S304" s="8"/>
    </row>
    <row r="305" spans="1:19" s="12" customFormat="1" ht="16.5" customHeight="1" hidden="1">
      <c r="A305" s="3"/>
      <c r="B305" s="4" t="s">
        <v>13</v>
      </c>
      <c r="C305" s="11">
        <f>(C300*3+C301*7+C302*7+C303*7+C304*6)/30</f>
        <v>18.837939999999996</v>
      </c>
      <c r="D305" s="11">
        <f>(D300*3+D301*7+D302*7+D303*7+D304*6)/30</f>
        <v>18.410206666666667</v>
      </c>
      <c r="E305" s="11">
        <f aca="true" t="shared" si="34" ref="E305:Q305">(E300*3+E301*7+E302*7+E303*7+E304*6)/30</f>
        <v>19.012642282644794</v>
      </c>
      <c r="F305" s="11"/>
      <c r="G305" s="11"/>
      <c r="H305" s="11">
        <f t="shared" si="34"/>
        <v>18.82417856528959</v>
      </c>
      <c r="I305" s="11">
        <f t="shared" si="34"/>
        <v>18.57095863727587</v>
      </c>
      <c r="J305" s="11">
        <f t="shared" si="34"/>
        <v>18.40551</v>
      </c>
      <c r="K305" s="11"/>
      <c r="L305" s="11"/>
      <c r="M305" s="11">
        <f t="shared" si="34"/>
        <v>18.28956783333333</v>
      </c>
      <c r="N305" s="11">
        <f t="shared" si="34"/>
        <v>17.952476666666666</v>
      </c>
      <c r="O305" s="38">
        <f t="shared" si="34"/>
        <v>12.657764201960013</v>
      </c>
      <c r="P305" s="11"/>
      <c r="Q305" s="11">
        <f t="shared" si="34"/>
        <v>11.152949999999999</v>
      </c>
      <c r="R305" s="15"/>
      <c r="S305" s="8"/>
    </row>
    <row r="306" spans="1:19" s="12" customFormat="1" ht="16.5" customHeight="1" hidden="1">
      <c r="A306" s="3"/>
      <c r="B306" s="13" t="s">
        <v>238</v>
      </c>
      <c r="C306" s="7">
        <v>19.3966</v>
      </c>
      <c r="D306" s="7">
        <v>18.9697</v>
      </c>
      <c r="E306" s="7">
        <v>19.335</v>
      </c>
      <c r="F306" s="7"/>
      <c r="G306" s="7"/>
      <c r="H306" s="14">
        <v>19.1468</v>
      </c>
      <c r="I306" s="7">
        <v>18.8361</v>
      </c>
      <c r="J306" s="7">
        <v>18.4416</v>
      </c>
      <c r="K306" s="7"/>
      <c r="L306" s="7"/>
      <c r="M306" s="7">
        <v>18.20402</v>
      </c>
      <c r="N306" s="7">
        <v>17.9808</v>
      </c>
      <c r="O306" s="8">
        <v>12.991950714671514</v>
      </c>
      <c r="P306" s="7"/>
      <c r="Q306" s="7">
        <v>11.154</v>
      </c>
      <c r="R306" s="15"/>
      <c r="S306" s="8"/>
    </row>
    <row r="307" spans="1:19" s="12" customFormat="1" ht="16.5" customHeight="1" hidden="1">
      <c r="A307" s="3"/>
      <c r="B307" s="13" t="s">
        <v>239</v>
      </c>
      <c r="C307" s="7">
        <v>19.2921</v>
      </c>
      <c r="D307" s="7">
        <v>18.8693</v>
      </c>
      <c r="E307" s="7">
        <v>19.239</v>
      </c>
      <c r="F307" s="7"/>
      <c r="G307" s="7"/>
      <c r="H307" s="14">
        <v>19.0526</v>
      </c>
      <c r="I307" s="7">
        <v>18.74393977904335</v>
      </c>
      <c r="J307" s="7">
        <v>18.675600000000003</v>
      </c>
      <c r="K307" s="7"/>
      <c r="L307" s="7"/>
      <c r="M307" s="7">
        <v>18.33832</v>
      </c>
      <c r="N307" s="7">
        <v>18.2197</v>
      </c>
      <c r="O307" s="8">
        <v>13.054905238294742</v>
      </c>
      <c r="P307" s="7"/>
      <c r="Q307" s="7">
        <v>11.1092</v>
      </c>
      <c r="R307" s="15"/>
      <c r="S307" s="8"/>
    </row>
    <row r="308" spans="1:19" s="12" customFormat="1" ht="16.5" customHeight="1" hidden="1">
      <c r="A308" s="3"/>
      <c r="B308" s="13" t="s">
        <v>240</v>
      </c>
      <c r="C308" s="7">
        <v>18.7438</v>
      </c>
      <c r="D308" s="7">
        <v>18.3302</v>
      </c>
      <c r="E308" s="7">
        <v>18.7414</v>
      </c>
      <c r="F308" s="7"/>
      <c r="G308" s="7"/>
      <c r="H308" s="14">
        <v>18.5164</v>
      </c>
      <c r="I308" s="7">
        <v>18.77097004376002</v>
      </c>
      <c r="J308" s="7">
        <v>18.88721428571429</v>
      </c>
      <c r="K308" s="7"/>
      <c r="L308" s="7"/>
      <c r="M308" s="7">
        <v>18.50035357142857</v>
      </c>
      <c r="N308" s="7">
        <v>18.441714285714284</v>
      </c>
      <c r="O308" s="8">
        <v>12.942859462091201</v>
      </c>
      <c r="P308" s="7"/>
      <c r="Q308" s="7">
        <v>11.009200000000002</v>
      </c>
      <c r="R308" s="15"/>
      <c r="S308" s="8"/>
    </row>
    <row r="309" spans="1:19" s="12" customFormat="1" ht="16.5" customHeight="1" hidden="1">
      <c r="A309" s="3"/>
      <c r="B309" s="13" t="s">
        <v>241</v>
      </c>
      <c r="C309" s="7">
        <v>18.1885</v>
      </c>
      <c r="D309" s="7">
        <v>17.7744</v>
      </c>
      <c r="E309" s="7">
        <v>18.2419</v>
      </c>
      <c r="F309" s="7"/>
      <c r="G309" s="7"/>
      <c r="H309" s="14">
        <v>18.0301</v>
      </c>
      <c r="I309" s="7">
        <v>19.000897921012715</v>
      </c>
      <c r="J309" s="7">
        <v>18.969328571428573</v>
      </c>
      <c r="K309" s="7"/>
      <c r="L309" s="7"/>
      <c r="M309" s="7">
        <v>18.544677142857143</v>
      </c>
      <c r="N309" s="7">
        <v>18.523142857142858</v>
      </c>
      <c r="O309" s="8">
        <v>13.33404608056094</v>
      </c>
      <c r="P309" s="7"/>
      <c r="Q309" s="7">
        <v>11.009200000000002</v>
      </c>
      <c r="R309" s="15"/>
      <c r="S309" s="8"/>
    </row>
    <row r="310" spans="1:19" s="12" customFormat="1" ht="16.5" customHeight="1" hidden="1">
      <c r="A310" s="3"/>
      <c r="B310" s="13" t="s">
        <v>242</v>
      </c>
      <c r="C310" s="7">
        <v>17.8356</v>
      </c>
      <c r="D310" s="7">
        <v>17.419</v>
      </c>
      <c r="E310" s="7">
        <v>17.9255</v>
      </c>
      <c r="F310" s="7"/>
      <c r="G310" s="7"/>
      <c r="H310" s="14">
        <v>17.6969</v>
      </c>
      <c r="I310" s="7">
        <v>18.902829119381288</v>
      </c>
      <c r="J310" s="7">
        <v>18.733671428571427</v>
      </c>
      <c r="K310" s="7"/>
      <c r="L310" s="7"/>
      <c r="M310" s="7">
        <v>18.315772857142857</v>
      </c>
      <c r="N310" s="7">
        <v>18.284314285714284</v>
      </c>
      <c r="O310" s="8">
        <v>13.494882021467584</v>
      </c>
      <c r="P310" s="7"/>
      <c r="Q310" s="7">
        <v>10.748100000000003</v>
      </c>
      <c r="R310" s="15"/>
      <c r="S310" s="8"/>
    </row>
    <row r="311" spans="1:19" s="12" customFormat="1" ht="16.5" customHeight="1" hidden="1">
      <c r="A311" s="3"/>
      <c r="B311" s="13" t="s">
        <v>243</v>
      </c>
      <c r="C311" s="7">
        <v>17.798</v>
      </c>
      <c r="D311" s="7">
        <v>17.3802</v>
      </c>
      <c r="E311" s="7">
        <v>17.8922</v>
      </c>
      <c r="F311" s="7"/>
      <c r="G311" s="7"/>
      <c r="H311" s="14">
        <v>17.7082</v>
      </c>
      <c r="I311" s="7">
        <v>18.91380248830071</v>
      </c>
      <c r="J311" s="7">
        <v>18.79465</v>
      </c>
      <c r="K311" s="7"/>
      <c r="L311" s="7"/>
      <c r="M311" s="7">
        <v>18.4143675</v>
      </c>
      <c r="N311" s="7">
        <v>18.34395</v>
      </c>
      <c r="O311" s="8">
        <v>13.523823798845594</v>
      </c>
      <c r="P311" s="7"/>
      <c r="Q311" s="7">
        <v>10.8666</v>
      </c>
      <c r="R311" s="15"/>
      <c r="S311" s="8"/>
    </row>
    <row r="312" spans="1:19" s="12" customFormat="1" ht="16.5" customHeight="1" hidden="1">
      <c r="A312" s="3"/>
      <c r="B312" s="4" t="s">
        <v>13</v>
      </c>
      <c r="C312" s="11">
        <f>(C306*1+C307*7+C308*7+C309*7+C310*7+C311*2)/31</f>
        <v>18.497180645161293</v>
      </c>
      <c r="D312" s="11">
        <f aca="true" t="shared" si="35" ref="D312:Q312">(D306*1+D307*7+D308*7+D309*7+D310*7+D311*2)/31</f>
        <v>18.080012903225807</v>
      </c>
      <c r="E312" s="11">
        <f t="shared" si="35"/>
        <v>18.52109677419355</v>
      </c>
      <c r="F312" s="11"/>
      <c r="G312" s="11"/>
      <c r="H312" s="11">
        <f t="shared" si="35"/>
        <v>18.310812903225806</v>
      </c>
      <c r="I312" s="11">
        <f t="shared" si="35"/>
        <v>18.857876226418806</v>
      </c>
      <c r="J312" s="11">
        <f t="shared" si="35"/>
        <v>18.802954838709677</v>
      </c>
      <c r="K312" s="11"/>
      <c r="L312" s="11"/>
      <c r="M312" s="11">
        <f t="shared" si="35"/>
        <v>18.416987741935483</v>
      </c>
      <c r="N312" s="11">
        <f t="shared" si="35"/>
        <v>18.353251612903225</v>
      </c>
      <c r="O312" s="38">
        <f t="shared" si="35"/>
        <v>13.220207997718193</v>
      </c>
      <c r="P312" s="11"/>
      <c r="Q312" s="11">
        <f t="shared" si="35"/>
        <v>10.968293548387098</v>
      </c>
      <c r="R312" s="15"/>
      <c r="S312" s="8"/>
    </row>
    <row r="313" spans="1:19" s="12" customFormat="1" ht="16.5" customHeight="1" hidden="1">
      <c r="A313" s="3"/>
      <c r="B313" s="13" t="s">
        <v>244</v>
      </c>
      <c r="C313" s="7">
        <v>17.316779999999998</v>
      </c>
      <c r="D313" s="7">
        <v>16.90292</v>
      </c>
      <c r="E313" s="7">
        <v>17.45930168047099</v>
      </c>
      <c r="F313" s="7"/>
      <c r="G313" s="7"/>
      <c r="H313" s="14">
        <v>17.279027360941985</v>
      </c>
      <c r="I313" s="7">
        <v>18.778050536242638</v>
      </c>
      <c r="J313" s="7">
        <v>18.751240000000003</v>
      </c>
      <c r="K313" s="7"/>
      <c r="L313" s="7"/>
      <c r="M313" s="7">
        <v>18.373128</v>
      </c>
      <c r="N313" s="7">
        <v>18.300040000000003</v>
      </c>
      <c r="O313" s="8">
        <v>13.641040155916741</v>
      </c>
      <c r="P313" s="7"/>
      <c r="Q313" s="7">
        <v>10.8666</v>
      </c>
      <c r="R313" s="15"/>
      <c r="S313" s="8"/>
    </row>
    <row r="314" spans="1:19" s="12" customFormat="1" ht="16.5" customHeight="1" hidden="1">
      <c r="A314" s="3"/>
      <c r="B314" s="13" t="s">
        <v>245</v>
      </c>
      <c r="C314" s="7">
        <v>16.839185714285712</v>
      </c>
      <c r="D314" s="7">
        <v>16.423885714285714</v>
      </c>
      <c r="E314" s="7">
        <v>17.03021526521986</v>
      </c>
      <c r="F314" s="7"/>
      <c r="G314" s="7"/>
      <c r="H314" s="14">
        <v>16.849393387582577</v>
      </c>
      <c r="I314" s="7">
        <v>18.30519500867113</v>
      </c>
      <c r="J314" s="7">
        <v>18.101714285714284</v>
      </c>
      <c r="K314" s="7"/>
      <c r="L314" s="7"/>
      <c r="M314" s="7">
        <v>17.75957357142857</v>
      </c>
      <c r="N314" s="7">
        <v>17.648142857142858</v>
      </c>
      <c r="O314" s="8">
        <v>13.12379505141848</v>
      </c>
      <c r="P314" s="7"/>
      <c r="Q314" s="7">
        <v>10.910299999999998</v>
      </c>
      <c r="R314" s="15"/>
      <c r="S314" s="8"/>
    </row>
    <row r="315" spans="1:19" s="12" customFormat="1" ht="16.5" customHeight="1" hidden="1">
      <c r="A315" s="3"/>
      <c r="B315" s="13" t="s">
        <v>246</v>
      </c>
      <c r="C315" s="7">
        <v>16.917771428571427</v>
      </c>
      <c r="D315" s="7">
        <v>16.497757142857147</v>
      </c>
      <c r="E315" s="7">
        <v>17.1031466999734</v>
      </c>
      <c r="F315" s="7"/>
      <c r="G315" s="7"/>
      <c r="H315" s="14">
        <v>16.920286257089664</v>
      </c>
      <c r="I315" s="7">
        <v>18.599408520857445</v>
      </c>
      <c r="J315" s="7">
        <v>18.420628571428573</v>
      </c>
      <c r="K315" s="7"/>
      <c r="L315" s="7"/>
      <c r="M315" s="7">
        <v>18.053722142857143</v>
      </c>
      <c r="N315" s="7">
        <v>17.961985714285714</v>
      </c>
      <c r="O315" s="8">
        <v>12.946233623303613</v>
      </c>
      <c r="P315" s="7"/>
      <c r="Q315" s="7">
        <v>10.9475</v>
      </c>
      <c r="R315" s="15"/>
      <c r="S315" s="8"/>
    </row>
    <row r="316" spans="1:19" s="12" customFormat="1" ht="16.5" customHeight="1" hidden="1">
      <c r="A316" s="3"/>
      <c r="B316" s="13" t="s">
        <v>247</v>
      </c>
      <c r="C316" s="7">
        <v>16.70222857142857</v>
      </c>
      <c r="D316" s="7">
        <v>16.281671428571432</v>
      </c>
      <c r="E316" s="7">
        <v>16.90945476216834</v>
      </c>
      <c r="F316" s="7"/>
      <c r="G316" s="7"/>
      <c r="H316" s="14">
        <v>16.726402381479538</v>
      </c>
      <c r="I316" s="7">
        <v>18.356048665085797</v>
      </c>
      <c r="J316" s="7">
        <v>18.458142857142857</v>
      </c>
      <c r="K316" s="7"/>
      <c r="L316" s="7"/>
      <c r="M316" s="7">
        <v>18.08936071428571</v>
      </c>
      <c r="N316" s="7">
        <v>17.998785714285713</v>
      </c>
      <c r="O316" s="8">
        <v>12.819726771742694</v>
      </c>
      <c r="P316" s="7"/>
      <c r="Q316" s="7">
        <v>11.064300000000001</v>
      </c>
      <c r="R316" s="15"/>
      <c r="S316" s="8"/>
    </row>
    <row r="317" spans="1:19" s="12" customFormat="1" ht="16.5" customHeight="1" hidden="1">
      <c r="A317" s="3"/>
      <c r="B317" s="13" t="s">
        <v>248</v>
      </c>
      <c r="C317" s="7">
        <v>17.298939999999998</v>
      </c>
      <c r="D317" s="7">
        <v>16.87886</v>
      </c>
      <c r="E317" s="7">
        <v>17.44618201368691</v>
      </c>
      <c r="F317" s="7"/>
      <c r="G317" s="7"/>
      <c r="H317" s="14">
        <v>17.263246027373825</v>
      </c>
      <c r="I317" s="7">
        <v>18.603506255421927</v>
      </c>
      <c r="J317" s="7">
        <v>18.62204</v>
      </c>
      <c r="K317" s="7"/>
      <c r="L317" s="7"/>
      <c r="M317" s="7">
        <v>18.229962999999998</v>
      </c>
      <c r="N317" s="7">
        <v>18.16364</v>
      </c>
      <c r="O317" s="8">
        <v>13.150363699668095</v>
      </c>
      <c r="P317" s="7"/>
      <c r="Q317" s="7">
        <v>11.1055</v>
      </c>
      <c r="R317" s="15"/>
      <c r="S317" s="8"/>
    </row>
    <row r="318" spans="1:19" s="12" customFormat="1" ht="16.5" customHeight="1" hidden="1">
      <c r="A318" s="3"/>
      <c r="B318" s="4" t="s">
        <v>13</v>
      </c>
      <c r="C318" s="11">
        <f>(C313*5+C314*7+C315*7+C316*7+C317*5)/31</f>
        <v>16.977190322580643</v>
      </c>
      <c r="D318" s="11">
        <f aca="true" t="shared" si="36" ref="D318:Q318">(D313*5+D314*7+D315*7+D316*7+D317*5)/31</f>
        <v>16.559100000000004</v>
      </c>
      <c r="E318" s="11">
        <f t="shared" si="36"/>
        <v>17.155714050397442</v>
      </c>
      <c r="F318" s="11"/>
      <c r="G318" s="11"/>
      <c r="H318" s="11">
        <f t="shared" si="36"/>
        <v>16.973675520149726</v>
      </c>
      <c r="I318" s="11">
        <f t="shared" si="36"/>
        <v>18.507495139374946</v>
      </c>
      <c r="J318" s="11">
        <f t="shared" si="36"/>
        <v>18.442896774193546</v>
      </c>
      <c r="K318" s="11"/>
      <c r="L318" s="11"/>
      <c r="M318" s="11">
        <f t="shared" si="36"/>
        <v>18.075291935483868</v>
      </c>
      <c r="N318" s="11">
        <f t="shared" si="36"/>
        <v>17.986477419354838</v>
      </c>
      <c r="O318" s="38">
        <f t="shared" si="36"/>
        <v>13.102751851715409</v>
      </c>
      <c r="P318" s="11"/>
      <c r="Q318" s="11">
        <f t="shared" si="36"/>
        <v>10.977909677419353</v>
      </c>
      <c r="R318" s="15"/>
      <c r="S318" s="8"/>
    </row>
    <row r="319" spans="1:19" s="12" customFormat="1" ht="16.5" customHeight="1" hidden="1">
      <c r="A319" s="3"/>
      <c r="B319" s="13" t="s">
        <v>27</v>
      </c>
      <c r="C319" s="7">
        <v>17.4879</v>
      </c>
      <c r="D319" s="7">
        <v>17.06815</v>
      </c>
      <c r="E319" s="7">
        <v>17.616030274996227</v>
      </c>
      <c r="F319" s="7"/>
      <c r="G319" s="7"/>
      <c r="H319" s="14">
        <v>17.43317554999245</v>
      </c>
      <c r="I319" s="7">
        <v>18.828502743137676</v>
      </c>
      <c r="J319" s="7">
        <v>18.89735</v>
      </c>
      <c r="K319" s="7"/>
      <c r="L319" s="7"/>
      <c r="M319" s="7">
        <v>18.491507499999997</v>
      </c>
      <c r="N319" s="7">
        <v>18.450400000000002</v>
      </c>
      <c r="O319" s="8">
        <v>13.346030232000706</v>
      </c>
      <c r="P319" s="7"/>
      <c r="Q319" s="7">
        <v>10.974</v>
      </c>
      <c r="R319" s="15"/>
      <c r="S319" s="8"/>
    </row>
    <row r="320" spans="1:19" s="12" customFormat="1" ht="16.5" customHeight="1" hidden="1">
      <c r="A320" s="3"/>
      <c r="B320" s="13" t="s">
        <v>249</v>
      </c>
      <c r="C320" s="7">
        <v>17.60472857142857</v>
      </c>
      <c r="D320" s="7">
        <v>17.185342857142857</v>
      </c>
      <c r="E320" s="7">
        <v>17.721011781383208</v>
      </c>
      <c r="F320" s="7"/>
      <c r="G320" s="7"/>
      <c r="H320" s="14">
        <v>17.538320705623565</v>
      </c>
      <c r="I320" s="7">
        <v>19.198014943453426</v>
      </c>
      <c r="J320" s="7">
        <v>19.459514285714285</v>
      </c>
      <c r="K320" s="7"/>
      <c r="L320" s="7"/>
      <c r="M320" s="7">
        <v>18.99757857142857</v>
      </c>
      <c r="N320" s="7">
        <v>19.013457142857142</v>
      </c>
      <c r="O320" s="8">
        <v>13.421532385092775</v>
      </c>
      <c r="P320" s="7"/>
      <c r="Q320" s="7">
        <v>10.9706</v>
      </c>
      <c r="R320" s="15"/>
      <c r="S320" s="8"/>
    </row>
    <row r="321" spans="1:19" s="12" customFormat="1" ht="16.5" customHeight="1" hidden="1">
      <c r="A321" s="3"/>
      <c r="B321" s="13" t="s">
        <v>250</v>
      </c>
      <c r="C321" s="7">
        <v>17.882957142857144</v>
      </c>
      <c r="D321" s="7">
        <v>17.463914285714285</v>
      </c>
      <c r="E321" s="7">
        <v>17.971223082574348</v>
      </c>
      <c r="F321" s="7"/>
      <c r="G321" s="7"/>
      <c r="H321" s="14">
        <v>17.788646165148695</v>
      </c>
      <c r="I321" s="7">
        <v>19.920261267036754</v>
      </c>
      <c r="J321" s="7">
        <v>20.318171428571425</v>
      </c>
      <c r="K321" s="7"/>
      <c r="L321" s="7"/>
      <c r="M321" s="7">
        <v>19.720722857142857</v>
      </c>
      <c r="N321" s="7">
        <v>19.873371428571428</v>
      </c>
      <c r="O321" s="8">
        <v>13.465698866144825</v>
      </c>
      <c r="P321" s="7"/>
      <c r="Q321" s="7">
        <v>10.9536</v>
      </c>
      <c r="R321" s="15"/>
      <c r="S321" s="8"/>
    </row>
    <row r="322" spans="1:19" s="12" customFormat="1" ht="16.5" customHeight="1" hidden="1">
      <c r="A322" s="3"/>
      <c r="B322" s="13" t="s">
        <v>251</v>
      </c>
      <c r="C322" s="7">
        <v>18.644157142857143</v>
      </c>
      <c r="D322" s="7">
        <v>18.22485714285714</v>
      </c>
      <c r="E322" s="7">
        <v>18.656314242727028</v>
      </c>
      <c r="F322" s="7"/>
      <c r="G322" s="7"/>
      <c r="H322" s="14">
        <v>18.47351705688263</v>
      </c>
      <c r="I322" s="7">
        <v>20.276655420347783</v>
      </c>
      <c r="J322" s="7">
        <v>20.521314285714286</v>
      </c>
      <c r="K322" s="7"/>
      <c r="L322" s="7"/>
      <c r="M322" s="7">
        <v>19.865358571428573</v>
      </c>
      <c r="N322" s="7">
        <v>20.076671428571427</v>
      </c>
      <c r="O322" s="8">
        <v>13.92869873506645</v>
      </c>
      <c r="P322" s="7"/>
      <c r="Q322" s="7">
        <v>10.9363</v>
      </c>
      <c r="R322" s="15"/>
      <c r="S322" s="8"/>
    </row>
    <row r="323" spans="1:19" s="12" customFormat="1" ht="16.5" customHeight="1" hidden="1">
      <c r="A323" s="3"/>
      <c r="B323" s="13" t="s">
        <v>252</v>
      </c>
      <c r="C323" s="7">
        <v>18.54158571428572</v>
      </c>
      <c r="D323" s="7">
        <v>18.122371428571427</v>
      </c>
      <c r="E323" s="7">
        <v>18.563967689614767</v>
      </c>
      <c r="F323" s="7"/>
      <c r="G323" s="7"/>
      <c r="H323" s="14">
        <v>18.381215379229534</v>
      </c>
      <c r="I323" s="7">
        <v>20.189798047099078</v>
      </c>
      <c r="J323" s="7">
        <v>20.464071428571426</v>
      </c>
      <c r="K323" s="7"/>
      <c r="L323" s="7"/>
      <c r="M323" s="7">
        <v>19.817612857142855</v>
      </c>
      <c r="N323" s="7">
        <v>20.019457142857142</v>
      </c>
      <c r="O323" s="8">
        <v>14.017904917212821</v>
      </c>
      <c r="P323" s="7"/>
      <c r="Q323" s="7">
        <v>10.9409</v>
      </c>
      <c r="R323" s="15"/>
      <c r="S323" s="8"/>
    </row>
    <row r="324" spans="1:19" s="12" customFormat="1" ht="16.5" customHeight="1" hidden="1">
      <c r="A324" s="3"/>
      <c r="B324" s="4" t="s">
        <v>13</v>
      </c>
      <c r="C324" s="11">
        <f>(C319*2+C320*7+C321*7+C322*7+C323*7)/30</f>
        <v>18.122993333333334</v>
      </c>
      <c r="D324" s="11">
        <f aca="true" t="shared" si="37" ref="D324:Q324">(D319*2+D320*7+D321*7+D322*7+D323*7)/30</f>
        <v>17.703723333333333</v>
      </c>
      <c r="E324" s="11">
        <f t="shared" si="37"/>
        <v>18.187322604136263</v>
      </c>
      <c r="F324" s="11"/>
      <c r="G324" s="11"/>
      <c r="H324" s="11">
        <f t="shared" si="37"/>
        <v>18.00460820827253</v>
      </c>
      <c r="I324" s="11">
        <f t="shared" si="37"/>
        <v>19.825003774394485</v>
      </c>
      <c r="J324" s="11">
        <f t="shared" si="37"/>
        <v>20.104539999999997</v>
      </c>
      <c r="K324" s="11"/>
      <c r="L324" s="11"/>
      <c r="M324" s="11">
        <f t="shared" si="37"/>
        <v>19.526397499999998</v>
      </c>
      <c r="N324" s="11">
        <f t="shared" si="37"/>
        <v>19.659383333333334</v>
      </c>
      <c r="O324" s="38">
        <f>(O319*2+O320*7+O321*7+O322*7+O323*7)/30</f>
        <v>13.684296826287317</v>
      </c>
      <c r="P324" s="11"/>
      <c r="Q324" s="11">
        <f t="shared" si="37"/>
        <v>10.951926666666667</v>
      </c>
      <c r="R324" s="15"/>
      <c r="S324" s="8"/>
    </row>
    <row r="325" spans="1:19" s="12" customFormat="1" ht="16.5" customHeight="1" hidden="1">
      <c r="A325" s="3"/>
      <c r="B325" s="13" t="s">
        <v>253</v>
      </c>
      <c r="C325" s="7">
        <v>18.285199999999996</v>
      </c>
      <c r="D325" s="7">
        <v>17.86182857142857</v>
      </c>
      <c r="E325" s="7">
        <v>18.180226612057997</v>
      </c>
      <c r="F325" s="7"/>
      <c r="G325" s="7"/>
      <c r="H325" s="14">
        <v>17.99373893840171</v>
      </c>
      <c r="I325" s="7">
        <v>20.093022053261425</v>
      </c>
      <c r="J325" s="7">
        <v>20.241442857142857</v>
      </c>
      <c r="K325" s="7"/>
      <c r="L325" s="7"/>
      <c r="M325" s="7">
        <v>19.62311571428571</v>
      </c>
      <c r="N325" s="7">
        <v>19.817942857142857</v>
      </c>
      <c r="O325" s="8">
        <v>14.103172243196244</v>
      </c>
      <c r="P325" s="7"/>
      <c r="Q325" s="7">
        <v>11.0248</v>
      </c>
      <c r="R325" s="15"/>
      <c r="S325" s="8"/>
    </row>
    <row r="326" spans="1:19" s="12" customFormat="1" ht="16.5" customHeight="1" hidden="1">
      <c r="A326" s="3"/>
      <c r="B326" s="13" t="s">
        <v>254</v>
      </c>
      <c r="C326" s="7">
        <v>18.975599999999996</v>
      </c>
      <c r="D326" s="7">
        <v>18.55265714285714</v>
      </c>
      <c r="E326" s="7">
        <v>18.80128900798643</v>
      </c>
      <c r="F326" s="7"/>
      <c r="G326" s="7"/>
      <c r="H326" s="14">
        <v>18.614889444544282</v>
      </c>
      <c r="I326" s="7">
        <v>20.49333262797334</v>
      </c>
      <c r="J326" s="7">
        <v>20.52812857142857</v>
      </c>
      <c r="K326" s="7"/>
      <c r="L326" s="7"/>
      <c r="M326" s="7">
        <v>19.94646714285714</v>
      </c>
      <c r="N326" s="7">
        <v>20.105585714285716</v>
      </c>
      <c r="O326" s="8">
        <v>14.594553767024154</v>
      </c>
      <c r="P326" s="7"/>
      <c r="Q326" s="7">
        <v>11.029399999999999</v>
      </c>
      <c r="R326" s="15"/>
      <c r="S326" s="8"/>
    </row>
    <row r="327" spans="1:19" s="12" customFormat="1" ht="16.5" customHeight="1" hidden="1">
      <c r="A327" s="3"/>
      <c r="B327" s="13" t="s">
        <v>255</v>
      </c>
      <c r="C327" s="7">
        <v>19.75897142857143</v>
      </c>
      <c r="D327" s="7">
        <v>19.33617142857143</v>
      </c>
      <c r="E327" s="7">
        <v>19.50614093033621</v>
      </c>
      <c r="F327" s="7"/>
      <c r="G327" s="7"/>
      <c r="H327" s="14">
        <v>19.319687574958127</v>
      </c>
      <c r="I327" s="7">
        <v>21.503429960463222</v>
      </c>
      <c r="J327" s="7">
        <v>21.209442857142854</v>
      </c>
      <c r="K327" s="7"/>
      <c r="L327" s="7"/>
      <c r="M327" s="7">
        <v>20.635730714285717</v>
      </c>
      <c r="N327" s="7">
        <v>20.787914285714287</v>
      </c>
      <c r="O327" s="8">
        <v>15.540797213071489</v>
      </c>
      <c r="P327" s="7"/>
      <c r="Q327" s="7">
        <v>11.013400000000003</v>
      </c>
      <c r="R327" s="15"/>
      <c r="S327" s="8"/>
    </row>
    <row r="328" spans="1:19" s="12" customFormat="1" ht="16.5" customHeight="1" hidden="1">
      <c r="A328" s="3"/>
      <c r="B328" s="13" t="s">
        <v>256</v>
      </c>
      <c r="C328" s="7">
        <v>20.252157142857147</v>
      </c>
      <c r="D328" s="7">
        <v>19.829414285714286</v>
      </c>
      <c r="E328" s="7">
        <v>19.949917174558447</v>
      </c>
      <c r="F328" s="7"/>
      <c r="G328" s="7"/>
      <c r="H328" s="14">
        <v>19.763424349116892</v>
      </c>
      <c r="I328" s="7">
        <v>21.993357061995457</v>
      </c>
      <c r="J328" s="7">
        <v>21.675171428571428</v>
      </c>
      <c r="K328" s="7"/>
      <c r="L328" s="7"/>
      <c r="M328" s="7">
        <v>21.135002857142858</v>
      </c>
      <c r="N328" s="7">
        <v>21.254285714285718</v>
      </c>
      <c r="O328" s="8">
        <v>16.37854485187348</v>
      </c>
      <c r="P328" s="7"/>
      <c r="Q328" s="7">
        <v>11</v>
      </c>
      <c r="R328" s="15"/>
      <c r="S328" s="8"/>
    </row>
    <row r="329" spans="1:19" s="12" customFormat="1" ht="16.5" customHeight="1" hidden="1">
      <c r="A329" s="3"/>
      <c r="B329" s="13" t="s">
        <v>257</v>
      </c>
      <c r="C329" s="7">
        <v>20.811866666666663</v>
      </c>
      <c r="D329" s="7">
        <v>20.390166666666666</v>
      </c>
      <c r="E329" s="7">
        <v>20.453076631107532</v>
      </c>
      <c r="F329" s="7"/>
      <c r="G329" s="7"/>
      <c r="H329" s="14">
        <v>20.266943262215065</v>
      </c>
      <c r="I329" s="7">
        <v>22.776514840214528</v>
      </c>
      <c r="J329" s="7">
        <v>22.282899999999998</v>
      </c>
      <c r="K329" s="7"/>
      <c r="L329" s="7"/>
      <c r="M329" s="7">
        <v>21.703605</v>
      </c>
      <c r="N329" s="7">
        <v>21.863833333333332</v>
      </c>
      <c r="O329" s="8">
        <v>16.993867596356818</v>
      </c>
      <c r="P329" s="7"/>
      <c r="Q329" s="7">
        <v>10.995799999999997</v>
      </c>
      <c r="R329" s="15"/>
      <c r="S329" s="8"/>
    </row>
    <row r="330" spans="1:19" s="12" customFormat="1" ht="16.5" customHeight="1" hidden="1">
      <c r="A330" s="3"/>
      <c r="B330" s="4" t="s">
        <v>13</v>
      </c>
      <c r="C330" s="11">
        <f>(C325*7+C326*7+C327*7+C328*7+C329*3)/31</f>
        <v>19.462551612903223</v>
      </c>
      <c r="D330" s="11">
        <f aca="true" t="shared" si="38" ref="D330:O330">(D325*7+D326*7+D327*7+D328*7+D329*3)/31</f>
        <v>19.039709677419356</v>
      </c>
      <c r="E330" s="11">
        <f t="shared" si="38"/>
        <v>19.239427289286972</v>
      </c>
      <c r="F330" s="11"/>
      <c r="G330" s="11"/>
      <c r="H330" s="11">
        <f t="shared" si="38"/>
        <v>19.05300038502556</v>
      </c>
      <c r="I330" s="11">
        <f t="shared" si="38"/>
        <v>21.190694724080572</v>
      </c>
      <c r="J330" s="11">
        <f t="shared" si="38"/>
        <v>21.046064516129032</v>
      </c>
      <c r="K330" s="11"/>
      <c r="L330" s="11"/>
      <c r="M330" s="11">
        <f t="shared" si="38"/>
        <v>20.46751709677419</v>
      </c>
      <c r="N330" s="11">
        <f t="shared" si="38"/>
        <v>20.62424516129032</v>
      </c>
      <c r="O330" s="38">
        <f t="shared" si="38"/>
        <v>15.332292881136388</v>
      </c>
      <c r="P330" s="11"/>
      <c r="Q330" s="11">
        <f>(Q325*7+Q326*7+Q327*7+Q328*7+Q329*3)/31</f>
        <v>11.01485806451613</v>
      </c>
      <c r="R330" s="15"/>
      <c r="S330" s="8"/>
    </row>
    <row r="331" spans="1:19" s="12" customFormat="1" ht="16.5" customHeight="1" hidden="1">
      <c r="A331" s="3"/>
      <c r="B331" s="13" t="s">
        <v>89</v>
      </c>
      <c r="C331" s="7">
        <v>21.164225000000002</v>
      </c>
      <c r="D331" s="7">
        <v>20.74325</v>
      </c>
      <c r="E331" s="7">
        <v>20.769821687465406</v>
      </c>
      <c r="F331" s="7"/>
      <c r="G331" s="7"/>
      <c r="H331" s="14">
        <v>20.58396337493081</v>
      </c>
      <c r="I331" s="7">
        <v>24.045140427464396</v>
      </c>
      <c r="J331" s="7">
        <v>22.876749999999998</v>
      </c>
      <c r="K331" s="7"/>
      <c r="L331" s="7"/>
      <c r="M331" s="7">
        <v>22.608562499999998</v>
      </c>
      <c r="N331" s="7">
        <v>22.465524999999996</v>
      </c>
      <c r="O331" s="8">
        <v>17.230743825859406</v>
      </c>
      <c r="P331" s="7"/>
      <c r="Q331" s="7">
        <v>10.9962</v>
      </c>
      <c r="R331" s="15"/>
      <c r="S331" s="8"/>
    </row>
    <row r="332" spans="1:19" s="12" customFormat="1" ht="16.5" customHeight="1" hidden="1">
      <c r="A332" s="3"/>
      <c r="B332" s="13" t="s">
        <v>258</v>
      </c>
      <c r="C332" s="7">
        <v>21.702942857142858</v>
      </c>
      <c r="D332" s="7">
        <v>21.281928571428573</v>
      </c>
      <c r="E332" s="7">
        <v>21.254612382701584</v>
      </c>
      <c r="F332" s="7"/>
      <c r="G332" s="7"/>
      <c r="H332" s="14">
        <v>21.06866333683174</v>
      </c>
      <c r="I332" s="7">
        <v>24.626142288882615</v>
      </c>
      <c r="J332" s="7">
        <v>23.358185714285717</v>
      </c>
      <c r="K332" s="7"/>
      <c r="L332" s="7"/>
      <c r="M332" s="7">
        <v>23.124956428571426</v>
      </c>
      <c r="N332" s="7">
        <v>22.947471428571426</v>
      </c>
      <c r="O332" s="8">
        <v>17.662580251571235</v>
      </c>
      <c r="P332" s="7"/>
      <c r="Q332" s="7">
        <v>10.952700000000002</v>
      </c>
      <c r="R332" s="15"/>
      <c r="S332" s="8"/>
    </row>
    <row r="333" spans="1:19" s="12" customFormat="1" ht="16.5" customHeight="1" hidden="1">
      <c r="A333" s="3"/>
      <c r="B333" s="13" t="s">
        <v>259</v>
      </c>
      <c r="C333" s="7">
        <v>21.416114285714286</v>
      </c>
      <c r="D333" s="7">
        <v>20.99657142857143</v>
      </c>
      <c r="E333" s="7">
        <v>20.995807895924845</v>
      </c>
      <c r="F333" s="7"/>
      <c r="G333" s="7"/>
      <c r="H333" s="14">
        <v>20.810524363278244</v>
      </c>
      <c r="I333" s="7">
        <v>24.01255387755102</v>
      </c>
      <c r="J333" s="7">
        <v>22.873528571428572</v>
      </c>
      <c r="K333" s="7"/>
      <c r="L333" s="7"/>
      <c r="M333" s="7">
        <v>22.688977142857144</v>
      </c>
      <c r="N333" s="7">
        <v>22.463842857142854</v>
      </c>
      <c r="O333" s="8">
        <v>16.9823276105254</v>
      </c>
      <c r="P333" s="7"/>
      <c r="Q333" s="7">
        <v>10.942400000000001</v>
      </c>
      <c r="R333" s="15"/>
      <c r="S333" s="8"/>
    </row>
    <row r="334" spans="1:19" s="12" customFormat="1" ht="16.5" customHeight="1" hidden="1">
      <c r="A334" s="3"/>
      <c r="B334" s="13" t="s">
        <v>260</v>
      </c>
      <c r="C334" s="7">
        <v>22.0857</v>
      </c>
      <c r="D334" s="7">
        <v>21.666228571428572</v>
      </c>
      <c r="E334" s="7">
        <v>21.598310902301044</v>
      </c>
      <c r="F334" s="7"/>
      <c r="G334" s="7"/>
      <c r="H334" s="14">
        <v>21.412967518887797</v>
      </c>
      <c r="I334" s="7">
        <v>24.82215195413195</v>
      </c>
      <c r="J334" s="7">
        <v>23.81962857142857</v>
      </c>
      <c r="K334" s="7"/>
      <c r="L334" s="7"/>
      <c r="M334" s="7">
        <v>23.543557142857143</v>
      </c>
      <c r="N334" s="7">
        <v>23.4111</v>
      </c>
      <c r="O334" s="8">
        <v>16.857743486563464</v>
      </c>
      <c r="P334" s="7"/>
      <c r="Q334" s="7">
        <v>10.899600000000001</v>
      </c>
      <c r="R334" s="15"/>
      <c r="S334" s="8"/>
    </row>
    <row r="335" spans="1:19" s="12" customFormat="1" ht="16.5" customHeight="1" hidden="1">
      <c r="A335" s="3"/>
      <c r="B335" s="13" t="s">
        <v>261</v>
      </c>
      <c r="C335" s="7">
        <v>21.76642</v>
      </c>
      <c r="D335" s="7">
        <v>21.34686</v>
      </c>
      <c r="E335" s="7">
        <v>21.311045838273035</v>
      </c>
      <c r="F335" s="7"/>
      <c r="G335" s="7"/>
      <c r="H335" s="14">
        <v>21.12570967654607</v>
      </c>
      <c r="I335" s="7">
        <v>24.49737861934534</v>
      </c>
      <c r="J335" s="7">
        <v>23.529559999999996</v>
      </c>
      <c r="K335" s="7"/>
      <c r="L335" s="7"/>
      <c r="M335" s="7">
        <v>23.301712</v>
      </c>
      <c r="N335" s="7">
        <v>23.12056</v>
      </c>
      <c r="O335" s="8">
        <v>16.53569784967517</v>
      </c>
      <c r="P335" s="7"/>
      <c r="Q335" s="7">
        <v>10.8964</v>
      </c>
      <c r="R335" s="15"/>
      <c r="S335" s="8"/>
    </row>
    <row r="336" spans="1:19" s="12" customFormat="1" ht="16.5" customHeight="1" hidden="1">
      <c r="A336" s="3"/>
      <c r="B336" s="4" t="s">
        <v>13</v>
      </c>
      <c r="C336" s="11">
        <f>(C331*4+C332*7+C333*7+C334*7+C335*5)/30</f>
        <v>21.66407666666667</v>
      </c>
      <c r="D336" s="11">
        <f aca="true" t="shared" si="39" ref="D336:O336">(D331*4+D332*7+D333*7+D334*7+D335*5)/30</f>
        <v>21.24401333333333</v>
      </c>
      <c r="E336" s="11">
        <f t="shared" si="39"/>
        <v>21.21918780692397</v>
      </c>
      <c r="F336" s="11"/>
      <c r="G336" s="11"/>
      <c r="H336" s="11">
        <f t="shared" si="39"/>
        <v>21.033649613847935</v>
      </c>
      <c r="I336" s="11">
        <f t="shared" si="39"/>
        <v>24.429779721684778</v>
      </c>
      <c r="J336" s="11">
        <f t="shared" si="39"/>
        <v>23.31714</v>
      </c>
      <c r="K336" s="11"/>
      <c r="L336" s="11"/>
      <c r="M336" s="11">
        <f t="shared" si="39"/>
        <v>23.081508166666666</v>
      </c>
      <c r="N336" s="11">
        <f t="shared" si="39"/>
        <v>22.90739333333333</v>
      </c>
      <c r="O336" s="38">
        <f t="shared" si="39"/>
        <v>17.070667466414474</v>
      </c>
      <c r="P336" s="11"/>
      <c r="Q336" s="11">
        <f>(Q331*4+Q332*7+Q333*7+Q334*7+Q335*5)/30</f>
        <v>10.934323333333335</v>
      </c>
      <c r="R336" s="15"/>
      <c r="S336" s="8"/>
    </row>
    <row r="337" spans="1:19" s="12" customFormat="1" ht="16.5" customHeight="1" hidden="1">
      <c r="A337" s="3"/>
      <c r="B337" s="13" t="s">
        <v>40</v>
      </c>
      <c r="C337" s="7">
        <v>21.0768</v>
      </c>
      <c r="D337" s="7">
        <v>20.6573</v>
      </c>
      <c r="E337" s="7">
        <v>20.6904</v>
      </c>
      <c r="F337" s="7"/>
      <c r="G337" s="7"/>
      <c r="H337" s="14">
        <v>20.5052</v>
      </c>
      <c r="I337" s="7">
        <v>23.6078</v>
      </c>
      <c r="J337" s="7">
        <v>22.8134</v>
      </c>
      <c r="K337" s="7"/>
      <c r="L337" s="7"/>
      <c r="M337" s="7">
        <v>22.6213</v>
      </c>
      <c r="N337" s="7">
        <v>22.3846</v>
      </c>
      <c r="O337" s="8">
        <v>16.1996</v>
      </c>
      <c r="P337" s="7"/>
      <c r="Q337" s="7">
        <v>10.8964</v>
      </c>
      <c r="R337" s="15"/>
      <c r="S337" s="8"/>
    </row>
    <row r="338" spans="1:19" s="12" customFormat="1" ht="16.5" customHeight="1" hidden="1">
      <c r="A338" s="3"/>
      <c r="B338" s="13" t="s">
        <v>262</v>
      </c>
      <c r="C338" s="7">
        <v>20.7911</v>
      </c>
      <c r="D338" s="7">
        <v>20.3724</v>
      </c>
      <c r="E338" s="7">
        <v>20.433</v>
      </c>
      <c r="F338" s="7"/>
      <c r="G338" s="7"/>
      <c r="H338" s="14">
        <v>20.2481</v>
      </c>
      <c r="I338" s="7">
        <v>23.048</v>
      </c>
      <c r="J338" s="7">
        <v>22.2616</v>
      </c>
      <c r="K338" s="7"/>
      <c r="L338" s="7"/>
      <c r="M338" s="7">
        <v>22.0746</v>
      </c>
      <c r="N338" s="7">
        <v>21.8331</v>
      </c>
      <c r="O338" s="8">
        <v>15.8311</v>
      </c>
      <c r="P338" s="7"/>
      <c r="Q338" s="7">
        <v>10.8964</v>
      </c>
      <c r="R338" s="15"/>
      <c r="S338" s="8"/>
    </row>
    <row r="339" spans="1:19" s="12" customFormat="1" ht="16.5" customHeight="1" hidden="1">
      <c r="A339" s="3"/>
      <c r="B339" s="13" t="s">
        <v>263</v>
      </c>
      <c r="C339" s="7">
        <v>21.1608</v>
      </c>
      <c r="D339" s="7">
        <v>20.744</v>
      </c>
      <c r="E339" s="7">
        <v>20.7648</v>
      </c>
      <c r="F339" s="7"/>
      <c r="G339" s="7"/>
      <c r="H339" s="14">
        <v>20.5807</v>
      </c>
      <c r="I339" s="7">
        <v>23.3921</v>
      </c>
      <c r="J339" s="7">
        <v>22.8973</v>
      </c>
      <c r="K339" s="7"/>
      <c r="L339" s="7"/>
      <c r="M339" s="7">
        <v>22.6323</v>
      </c>
      <c r="N339" s="7">
        <v>22.4717</v>
      </c>
      <c r="O339" s="8">
        <v>16.055</v>
      </c>
      <c r="P339" s="7"/>
      <c r="Q339" s="7">
        <v>10.8964</v>
      </c>
      <c r="R339" s="15"/>
      <c r="S339" s="8"/>
    </row>
    <row r="340" spans="1:19" s="12" customFormat="1" ht="16.5" customHeight="1" hidden="1">
      <c r="A340" s="3"/>
      <c r="B340" s="13" t="s">
        <v>264</v>
      </c>
      <c r="C340" s="7">
        <v>21.1671</v>
      </c>
      <c r="D340" s="7">
        <v>20.7499</v>
      </c>
      <c r="E340" s="7">
        <v>20.7706</v>
      </c>
      <c r="F340" s="7"/>
      <c r="G340" s="7"/>
      <c r="H340" s="14">
        <v>20.5864</v>
      </c>
      <c r="I340" s="7">
        <v>23.4404</v>
      </c>
      <c r="J340" s="7">
        <v>23.3888</v>
      </c>
      <c r="K340" s="7"/>
      <c r="L340" s="7"/>
      <c r="M340" s="7">
        <v>23.1203</v>
      </c>
      <c r="N340" s="7">
        <v>22.963</v>
      </c>
      <c r="O340" s="8">
        <v>16.3376</v>
      </c>
      <c r="P340" s="7"/>
      <c r="Q340" s="7">
        <v>10.8964</v>
      </c>
      <c r="R340" s="15"/>
      <c r="S340" s="8"/>
    </row>
    <row r="341" spans="1:19" s="12" customFormat="1" ht="16.5" customHeight="1" hidden="1">
      <c r="A341" s="3"/>
      <c r="B341" s="13" t="s">
        <v>265</v>
      </c>
      <c r="C341" s="7">
        <v>21.9207</v>
      </c>
      <c r="D341" s="7">
        <v>21.5023</v>
      </c>
      <c r="E341" s="7">
        <v>21.4494</v>
      </c>
      <c r="F341" s="7"/>
      <c r="G341" s="7"/>
      <c r="H341" s="14">
        <v>21.2646</v>
      </c>
      <c r="I341" s="7">
        <v>23.7135</v>
      </c>
      <c r="J341" s="7">
        <v>23.9251</v>
      </c>
      <c r="K341" s="7"/>
      <c r="L341" s="7"/>
      <c r="M341" s="7">
        <v>23.6442</v>
      </c>
      <c r="N341" s="7">
        <v>23.4988</v>
      </c>
      <c r="O341" s="8">
        <v>16.3957</v>
      </c>
      <c r="P341" s="7"/>
      <c r="Q341" s="7">
        <v>10.8964</v>
      </c>
      <c r="R341" s="15"/>
      <c r="S341" s="8"/>
    </row>
    <row r="342" spans="1:19" s="12" customFormat="1" ht="16.5" customHeight="1" hidden="1">
      <c r="A342" s="3"/>
      <c r="B342" s="13" t="s">
        <v>266</v>
      </c>
      <c r="C342" s="7">
        <v>22.5318</v>
      </c>
      <c r="D342" s="7">
        <v>22.113</v>
      </c>
      <c r="E342" s="7">
        <v>21.9994</v>
      </c>
      <c r="F342" s="7"/>
      <c r="G342" s="7"/>
      <c r="H342" s="14">
        <v>21.8143</v>
      </c>
      <c r="I342" s="7">
        <v>24.1045</v>
      </c>
      <c r="J342" s="7">
        <v>24.0474</v>
      </c>
      <c r="K342" s="7"/>
      <c r="L342" s="7"/>
      <c r="M342" s="7">
        <v>23.858</v>
      </c>
      <c r="N342" s="7">
        <v>23.621</v>
      </c>
      <c r="O342" s="8">
        <v>16.7539</v>
      </c>
      <c r="P342" s="7"/>
      <c r="Q342" s="7">
        <v>10.9864</v>
      </c>
      <c r="R342" s="15"/>
      <c r="S342" s="8"/>
    </row>
    <row r="343" spans="1:19" s="12" customFormat="1" ht="16.5" customHeight="1" hidden="1">
      <c r="A343" s="3"/>
      <c r="B343" s="4" t="s">
        <v>13</v>
      </c>
      <c r="C343" s="11">
        <f>(C337*2+C338*7+C339*7+C340*7+C341*7+C342*1)/31</f>
        <v>21.28913870967742</v>
      </c>
      <c r="D343" s="11">
        <f aca="true" t="shared" si="40" ref="D343:Q343">(D337*2+D338*7+D339*7+D340*7+D341*7+D342*1)/31</f>
        <v>20.87121935483871</v>
      </c>
      <c r="E343" s="11">
        <f t="shared" si="40"/>
        <v>20.8808</v>
      </c>
      <c r="F343" s="11"/>
      <c r="G343" s="11"/>
      <c r="H343" s="11">
        <f t="shared" si="40"/>
        <v>20.696235483870968</v>
      </c>
      <c r="I343" s="11">
        <f t="shared" si="40"/>
        <v>23.43477741935484</v>
      </c>
      <c r="J343" s="11">
        <f t="shared" si="40"/>
        <v>23.12850967741936</v>
      </c>
      <c r="K343" s="11"/>
      <c r="L343" s="11"/>
      <c r="M343" s="11">
        <f t="shared" si="40"/>
        <v>22.883883870967747</v>
      </c>
      <c r="N343" s="11">
        <f t="shared" si="40"/>
        <v>22.70181935483871</v>
      </c>
      <c r="O343" s="38">
        <f t="shared" si="40"/>
        <v>16.17706129032258</v>
      </c>
      <c r="P343" s="11"/>
      <c r="Q343" s="11">
        <f t="shared" si="40"/>
        <v>10.899303225806452</v>
      </c>
      <c r="R343" s="15"/>
      <c r="S343" s="8"/>
    </row>
    <row r="344" spans="1:19" s="12" customFormat="1" ht="16.5" customHeight="1" hidden="1">
      <c r="A344" s="3"/>
      <c r="B344" s="6">
        <v>2008</v>
      </c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  <c r="P344" s="7"/>
      <c r="Q344" s="7"/>
      <c r="R344" s="15"/>
      <c r="S344" s="8"/>
    </row>
    <row r="345" spans="1:19" s="12" customFormat="1" ht="16.5" customHeight="1" hidden="1">
      <c r="A345" s="3"/>
      <c r="B345" s="13" t="s">
        <v>212</v>
      </c>
      <c r="C345" s="7">
        <v>22.5117</v>
      </c>
      <c r="D345" s="7">
        <v>22.0956</v>
      </c>
      <c r="E345" s="7">
        <v>22.1791</v>
      </c>
      <c r="F345" s="7">
        <v>21.7533</v>
      </c>
      <c r="G345" s="7"/>
      <c r="H345" s="14">
        <v>21.9951</v>
      </c>
      <c r="I345" s="7">
        <v>23.9713</v>
      </c>
      <c r="J345" s="7">
        <v>23.9265</v>
      </c>
      <c r="K345" s="7"/>
      <c r="L345" s="7"/>
      <c r="M345" s="7">
        <v>23.7432</v>
      </c>
      <c r="N345" s="7">
        <v>23.482</v>
      </c>
      <c r="O345" s="8">
        <v>16.9794</v>
      </c>
      <c r="P345" s="7"/>
      <c r="Q345" s="7">
        <v>10.8964</v>
      </c>
      <c r="R345" s="15"/>
      <c r="S345" s="8"/>
    </row>
    <row r="346" spans="1:19" s="12" customFormat="1" ht="16.5" customHeight="1" hidden="1">
      <c r="A346" s="3"/>
      <c r="B346" s="13" t="s">
        <v>267</v>
      </c>
      <c r="C346" s="7">
        <v>21.7292</v>
      </c>
      <c r="D346" s="7">
        <v>21.3173</v>
      </c>
      <c r="E346" s="7">
        <v>21.4731</v>
      </c>
      <c r="F346" s="7">
        <v>21.1246</v>
      </c>
      <c r="G346" s="7"/>
      <c r="H346" s="14">
        <v>21.2911</v>
      </c>
      <c r="I346" s="7">
        <v>23.0095</v>
      </c>
      <c r="J346" s="7">
        <v>23.1322</v>
      </c>
      <c r="K346" s="7"/>
      <c r="L346" s="7"/>
      <c r="M346" s="7">
        <v>22.9493</v>
      </c>
      <c r="N346" s="7">
        <v>22.6914</v>
      </c>
      <c r="O346" s="8">
        <v>16.2404</v>
      </c>
      <c r="P346" s="7"/>
      <c r="Q346" s="7">
        <v>10.8905</v>
      </c>
      <c r="R346" s="15"/>
      <c r="S346" s="8"/>
    </row>
    <row r="347" spans="1:19" s="12" customFormat="1" ht="16.5" customHeight="1" hidden="1">
      <c r="A347" s="3"/>
      <c r="B347" s="13" t="s">
        <v>268</v>
      </c>
      <c r="C347" s="7">
        <v>20.6972</v>
      </c>
      <c r="D347" s="7">
        <v>20.2868</v>
      </c>
      <c r="E347" s="7">
        <v>20.5437</v>
      </c>
      <c r="F347" s="7">
        <v>20.2981</v>
      </c>
      <c r="G347" s="7"/>
      <c r="H347" s="14">
        <v>20.3625</v>
      </c>
      <c r="I347" s="7">
        <v>22.1255</v>
      </c>
      <c r="J347" s="7">
        <v>22.2918</v>
      </c>
      <c r="K347" s="7"/>
      <c r="L347" s="7"/>
      <c r="M347" s="7">
        <v>22.0967</v>
      </c>
      <c r="N347" s="7">
        <v>21.8516</v>
      </c>
      <c r="O347" s="8">
        <v>15.3611</v>
      </c>
      <c r="P347" s="7"/>
      <c r="Q347" s="7">
        <v>10.8905</v>
      </c>
      <c r="R347" s="15"/>
      <c r="S347" s="8"/>
    </row>
    <row r="348" spans="1:19" s="12" customFormat="1" ht="16.5" customHeight="1" hidden="1">
      <c r="A348" s="3"/>
      <c r="B348" s="13" t="s">
        <v>269</v>
      </c>
      <c r="C348" s="7">
        <v>20.6507</v>
      </c>
      <c r="D348" s="7">
        <v>20.2405</v>
      </c>
      <c r="E348" s="7">
        <v>20.5017</v>
      </c>
      <c r="F348" s="7">
        <v>20.2607</v>
      </c>
      <c r="G348" s="7"/>
      <c r="H348" s="14">
        <v>20.3205</v>
      </c>
      <c r="I348" s="7">
        <v>21.6875</v>
      </c>
      <c r="J348" s="7">
        <v>21.7952</v>
      </c>
      <c r="K348" s="7"/>
      <c r="L348" s="7"/>
      <c r="M348" s="7">
        <v>21.6549</v>
      </c>
      <c r="N348" s="7">
        <v>21.3548</v>
      </c>
      <c r="O348" s="8">
        <v>15.0314</v>
      </c>
      <c r="P348" s="7"/>
      <c r="Q348" s="7">
        <v>10.8905</v>
      </c>
      <c r="R348" s="15"/>
      <c r="S348" s="8"/>
    </row>
    <row r="349" spans="1:19" s="12" customFormat="1" ht="16.5" customHeight="1" hidden="1">
      <c r="A349" s="3"/>
      <c r="B349" s="13" t="s">
        <v>103</v>
      </c>
      <c r="C349" s="7">
        <v>21.2446</v>
      </c>
      <c r="D349" s="7">
        <v>20.8349</v>
      </c>
      <c r="E349" s="7">
        <v>21.0359</v>
      </c>
      <c r="F349" s="7">
        <v>20.7354</v>
      </c>
      <c r="G349" s="7"/>
      <c r="H349" s="14">
        <v>20.8549</v>
      </c>
      <c r="I349" s="7">
        <v>22.1827</v>
      </c>
      <c r="J349" s="7">
        <v>22.3701</v>
      </c>
      <c r="K349" s="7"/>
      <c r="L349" s="7"/>
      <c r="M349" s="7">
        <v>22.614</v>
      </c>
      <c r="N349" s="7">
        <v>21.732</v>
      </c>
      <c r="O349" s="8">
        <v>15.5284</v>
      </c>
      <c r="P349" s="7"/>
      <c r="Q349" s="7">
        <v>10.9828</v>
      </c>
      <c r="R349" s="15"/>
      <c r="S349" s="8"/>
    </row>
    <row r="350" spans="1:19" s="12" customFormat="1" ht="16.5" customHeight="1" hidden="1">
      <c r="A350" s="3"/>
      <c r="B350" s="4" t="s">
        <v>13</v>
      </c>
      <c r="C350" s="11">
        <f>(C345*6+C346*7+C347*7+C348*7+C349*4)/31</f>
        <v>21.341558064516125</v>
      </c>
      <c r="D350" s="11">
        <f aca="true" t="shared" si="41" ref="D350:Q350">(D345*6+D346*7+D347*7+D348*7+D349*4)/31</f>
        <v>20.929851612903228</v>
      </c>
      <c r="E350" s="11">
        <f t="shared" si="41"/>
        <v>21.12411935483871</v>
      </c>
      <c r="F350" s="11">
        <f t="shared" si="41"/>
        <v>20.814361290322584</v>
      </c>
      <c r="G350" s="11"/>
      <c r="H350" s="11">
        <f t="shared" si="41"/>
        <v>20.942222580645158</v>
      </c>
      <c r="I350" s="11">
        <f t="shared" si="41"/>
        <v>22.590841935483873</v>
      </c>
      <c r="J350" s="11">
        <f t="shared" si="41"/>
        <v>22.695929032258064</v>
      </c>
      <c r="K350" s="11"/>
      <c r="L350" s="11"/>
      <c r="M350" s="11">
        <f t="shared" si="41"/>
        <v>22.574887096774194</v>
      </c>
      <c r="N350" s="11">
        <f t="shared" si="41"/>
        <v>22.22918064516129</v>
      </c>
      <c r="O350" s="38">
        <f t="shared" si="41"/>
        <v>15.820009677419355</v>
      </c>
      <c r="P350" s="11"/>
      <c r="Q350" s="11">
        <f t="shared" si="41"/>
        <v>10.903551612903225</v>
      </c>
      <c r="R350" s="15"/>
      <c r="S350" s="8"/>
    </row>
    <row r="351" spans="1:19" s="12" customFormat="1" ht="16.5" customHeight="1" hidden="1">
      <c r="A351" s="3"/>
      <c r="B351" s="13" t="s">
        <v>221</v>
      </c>
      <c r="C351" s="7">
        <v>20.9206</v>
      </c>
      <c r="D351" s="7">
        <v>20.5118</v>
      </c>
      <c r="E351" s="7">
        <v>20.744</v>
      </c>
      <c r="F351" s="7">
        <v>20.4757</v>
      </c>
      <c r="G351" s="7"/>
      <c r="H351" s="14">
        <v>20.5635</v>
      </c>
      <c r="I351" s="7">
        <v>22.0622</v>
      </c>
      <c r="J351" s="7">
        <v>22.5184</v>
      </c>
      <c r="K351" s="7"/>
      <c r="L351" s="7"/>
      <c r="M351" s="7">
        <v>23.1193</v>
      </c>
      <c r="N351" s="7">
        <v>21.6587</v>
      </c>
      <c r="O351" s="8">
        <v>15.0873</v>
      </c>
      <c r="P351" s="7"/>
      <c r="Q351" s="7">
        <v>11.0751</v>
      </c>
      <c r="R351" s="15"/>
      <c r="S351" s="8"/>
    </row>
    <row r="352" spans="1:19" s="12" customFormat="1" ht="16.5" customHeight="1" hidden="1">
      <c r="A352" s="3"/>
      <c r="B352" s="13" t="s">
        <v>273</v>
      </c>
      <c r="C352" s="7">
        <v>20.9229</v>
      </c>
      <c r="D352" s="7">
        <v>20.5148</v>
      </c>
      <c r="E352" s="7">
        <v>20.7456</v>
      </c>
      <c r="F352" s="7">
        <v>20.4769</v>
      </c>
      <c r="G352" s="7"/>
      <c r="H352" s="14">
        <v>20.5654</v>
      </c>
      <c r="I352" s="7">
        <v>21.9447</v>
      </c>
      <c r="J352" s="7">
        <v>22.508</v>
      </c>
      <c r="K352" s="7"/>
      <c r="L352" s="7"/>
      <c r="M352" s="7">
        <v>23.0756</v>
      </c>
      <c r="N352" s="7">
        <v>21.7392</v>
      </c>
      <c r="O352" s="8">
        <v>14.7512</v>
      </c>
      <c r="P352" s="7"/>
      <c r="Q352" s="7">
        <v>11.0751</v>
      </c>
      <c r="R352" s="15"/>
      <c r="S352" s="8"/>
    </row>
    <row r="353" spans="1:19" s="12" customFormat="1" ht="16.5" customHeight="1" hidden="1">
      <c r="A353" s="3"/>
      <c r="B353" s="13" t="s">
        <v>274</v>
      </c>
      <c r="C353" s="7">
        <v>21.5811</v>
      </c>
      <c r="D353" s="7">
        <v>21.1744</v>
      </c>
      <c r="E353" s="7">
        <v>21.3372</v>
      </c>
      <c r="F353" s="7">
        <v>21.0023</v>
      </c>
      <c r="G353" s="7"/>
      <c r="H353" s="14">
        <v>21.1576</v>
      </c>
      <c r="I353" s="7">
        <v>23.0185</v>
      </c>
      <c r="J353" s="7">
        <v>23.5343</v>
      </c>
      <c r="K353" s="7"/>
      <c r="L353" s="7"/>
      <c r="M353" s="7">
        <v>24.0417</v>
      </c>
      <c r="N353" s="7">
        <v>22.829</v>
      </c>
      <c r="O353" s="8">
        <v>15.4987</v>
      </c>
      <c r="P353" s="7"/>
      <c r="Q353" s="7">
        <v>11.0751</v>
      </c>
      <c r="R353" s="15"/>
      <c r="S353" s="8"/>
    </row>
    <row r="354" spans="1:19" s="12" customFormat="1" ht="16.5" customHeight="1" hidden="1">
      <c r="A354" s="3"/>
      <c r="B354" s="13" t="s">
        <v>275</v>
      </c>
      <c r="C354" s="7">
        <v>22.353</v>
      </c>
      <c r="D354" s="7">
        <v>21.9503</v>
      </c>
      <c r="E354" s="7">
        <v>22.0301</v>
      </c>
      <c r="F354" s="7">
        <v>21.617</v>
      </c>
      <c r="G354" s="7"/>
      <c r="H354" s="14">
        <v>21.852</v>
      </c>
      <c r="I354" s="7">
        <v>23.7938</v>
      </c>
      <c r="J354" s="7">
        <v>24.3175</v>
      </c>
      <c r="K354" s="7"/>
      <c r="L354" s="7"/>
      <c r="M354" s="7">
        <v>24.8067</v>
      </c>
      <c r="N354" s="7">
        <v>23.5418</v>
      </c>
      <c r="O354" s="8">
        <v>15.827</v>
      </c>
      <c r="P354" s="7"/>
      <c r="Q354" s="7">
        <v>11.0751</v>
      </c>
      <c r="R354" s="15"/>
      <c r="S354" s="8"/>
    </row>
    <row r="355" spans="1:19" s="12" customFormat="1" ht="16.5" customHeight="1" hidden="1">
      <c r="A355" s="3"/>
      <c r="B355" s="13" t="s">
        <v>276</v>
      </c>
      <c r="C355" s="7">
        <v>22.5689</v>
      </c>
      <c r="D355" s="7">
        <v>22.1699</v>
      </c>
      <c r="E355" s="7">
        <v>22.2226</v>
      </c>
      <c r="F355" s="7">
        <v>21.7871</v>
      </c>
      <c r="G355" s="7"/>
      <c r="H355" s="14">
        <v>22.0461</v>
      </c>
      <c r="I355" s="7">
        <v>23.8205</v>
      </c>
      <c r="J355" s="7">
        <v>24.4492</v>
      </c>
      <c r="K355" s="7"/>
      <c r="L355" s="7"/>
      <c r="M355" s="7">
        <v>24.9375</v>
      </c>
      <c r="N355" s="7">
        <v>23.6788</v>
      </c>
      <c r="O355" s="8">
        <v>15.7052</v>
      </c>
      <c r="P355" s="7"/>
      <c r="Q355" s="7">
        <v>11.0751</v>
      </c>
      <c r="R355" s="15"/>
      <c r="S355" s="8"/>
    </row>
    <row r="356" spans="1:19" s="12" customFormat="1" ht="16.5" customHeight="1" hidden="1">
      <c r="A356" s="3"/>
      <c r="B356" s="4" t="s">
        <v>13</v>
      </c>
      <c r="C356" s="11">
        <f>(C351*3+C352*7+C353*7+C354*7+C355*5)/29</f>
        <v>21.710527586206897</v>
      </c>
      <c r="D356" s="11">
        <f aca="true" t="shared" si="42" ref="D356:Q356">(D351*6+D352*7+D353*7+D354*7+D355*4)/31</f>
        <v>21.20086774193548</v>
      </c>
      <c r="E356" s="11">
        <f t="shared" si="42"/>
        <v>21.3595064516129</v>
      </c>
      <c r="F356" s="11">
        <f t="shared" si="42"/>
        <v>21.021806451612907</v>
      </c>
      <c r="G356" s="11"/>
      <c r="H356" s="11">
        <f t="shared" si="42"/>
        <v>21.180335483870966</v>
      </c>
      <c r="I356" s="11">
        <f t="shared" si="42"/>
        <v>22.869490322580646</v>
      </c>
      <c r="J356" s="11">
        <f t="shared" si="42"/>
        <v>23.40083225806451</v>
      </c>
      <c r="K356" s="11"/>
      <c r="L356" s="11"/>
      <c r="M356" s="11">
        <f t="shared" si="42"/>
        <v>23.933348387096775</v>
      </c>
      <c r="N356" s="11">
        <f t="shared" si="42"/>
        <v>22.627012903225804</v>
      </c>
      <c r="O356" s="38">
        <f t="shared" si="42"/>
        <v>15.351061290322582</v>
      </c>
      <c r="P356" s="11"/>
      <c r="Q356" s="11">
        <f t="shared" si="42"/>
        <v>11.0751</v>
      </c>
      <c r="R356" s="15"/>
      <c r="S356" s="8"/>
    </row>
    <row r="357" spans="1:19" s="12" customFormat="1" ht="16.5" customHeight="1" hidden="1">
      <c r="A357" s="3"/>
      <c r="B357" s="13" t="s">
        <v>54</v>
      </c>
      <c r="C357" s="7">
        <v>22.4512</v>
      </c>
      <c r="D357" s="7">
        <v>22.0551</v>
      </c>
      <c r="E357" s="7">
        <v>22.1153</v>
      </c>
      <c r="F357" s="7">
        <v>21.6908</v>
      </c>
      <c r="G357" s="7"/>
      <c r="H357" s="14">
        <v>21.9401</v>
      </c>
      <c r="I357" s="7">
        <v>23.9257</v>
      </c>
      <c r="J357" s="7">
        <v>24.6553</v>
      </c>
      <c r="K357" s="7"/>
      <c r="L357" s="7"/>
      <c r="M357" s="7">
        <v>25.1373</v>
      </c>
      <c r="N357" s="7">
        <v>23.8848</v>
      </c>
      <c r="O357" s="8">
        <v>15.9131</v>
      </c>
      <c r="P357" s="7"/>
      <c r="Q357" s="7">
        <v>10.996</v>
      </c>
      <c r="R357" s="15"/>
      <c r="S357" s="8"/>
    </row>
    <row r="358" spans="1:19" s="12" customFormat="1" ht="16.5" customHeight="1" hidden="1">
      <c r="A358" s="3"/>
      <c r="B358" s="13" t="s">
        <v>277</v>
      </c>
      <c r="C358" s="7">
        <v>21.9654</v>
      </c>
      <c r="D358" s="7">
        <v>21.5734</v>
      </c>
      <c r="E358" s="7">
        <v>21.6762</v>
      </c>
      <c r="F358" s="7">
        <v>21.2994</v>
      </c>
      <c r="G358" s="7"/>
      <c r="H358" s="14">
        <v>21.5029</v>
      </c>
      <c r="I358" s="7">
        <v>24.3834</v>
      </c>
      <c r="J358" s="7">
        <v>24.9037</v>
      </c>
      <c r="K358" s="7"/>
      <c r="L358" s="7"/>
      <c r="M358" s="7">
        <v>25.3873</v>
      </c>
      <c r="N358" s="7">
        <v>24.1371</v>
      </c>
      <c r="O358" s="8">
        <v>15.7686</v>
      </c>
      <c r="P358" s="7"/>
      <c r="Q358" s="7">
        <v>10.996</v>
      </c>
      <c r="R358" s="15"/>
      <c r="S358" s="8"/>
    </row>
    <row r="359" spans="1:19" s="12" customFormat="1" ht="16.5" customHeight="1" hidden="1">
      <c r="A359" s="3"/>
      <c r="B359" s="13" t="s">
        <v>278</v>
      </c>
      <c r="C359" s="7">
        <v>22.4784</v>
      </c>
      <c r="D359" s="7">
        <v>22.0872</v>
      </c>
      <c r="E359" s="7">
        <v>22.1375</v>
      </c>
      <c r="F359" s="7">
        <v>21.7092</v>
      </c>
      <c r="G359" s="7"/>
      <c r="H359" s="14">
        <v>21.9644</v>
      </c>
      <c r="I359" s="7">
        <v>25.7861</v>
      </c>
      <c r="J359" s="7">
        <v>24.2462</v>
      </c>
      <c r="K359" s="7"/>
      <c r="L359" s="7"/>
      <c r="M359" s="7">
        <v>26.6816</v>
      </c>
      <c r="N359" s="7">
        <v>25.514</v>
      </c>
      <c r="O359" s="8">
        <v>15.8458</v>
      </c>
      <c r="P359" s="7"/>
      <c r="Q359" s="7">
        <v>10.996</v>
      </c>
      <c r="R359" s="15"/>
      <c r="S359" s="8"/>
    </row>
    <row r="360" spans="1:19" s="12" customFormat="1" ht="16.5" customHeight="1" hidden="1">
      <c r="A360" s="3"/>
      <c r="B360" s="13" t="s">
        <v>281</v>
      </c>
      <c r="C360" s="7">
        <v>21.2452</v>
      </c>
      <c r="D360" s="7">
        <v>20.857</v>
      </c>
      <c r="E360" s="7">
        <v>21.0264</v>
      </c>
      <c r="F360" s="7">
        <v>20.7208</v>
      </c>
      <c r="G360" s="7"/>
      <c r="H360" s="14">
        <v>20.8548</v>
      </c>
      <c r="I360" s="7">
        <v>25.326</v>
      </c>
      <c r="J360" s="7">
        <v>25.941</v>
      </c>
      <c r="K360" s="7"/>
      <c r="L360" s="7"/>
      <c r="M360" s="7">
        <v>26.4296</v>
      </c>
      <c r="N360" s="7">
        <v>25.1764</v>
      </c>
      <c r="O360" s="8">
        <v>15.5597</v>
      </c>
      <c r="P360" s="7"/>
      <c r="Q360" s="7">
        <v>10.996</v>
      </c>
      <c r="R360" s="15"/>
      <c r="S360" s="8"/>
    </row>
    <row r="361" spans="1:19" s="12" customFormat="1" ht="16.5" customHeight="1" hidden="1">
      <c r="A361" s="3"/>
      <c r="B361" s="13" t="s">
        <v>280</v>
      </c>
      <c r="C361" s="7">
        <v>22.1452</v>
      </c>
      <c r="D361" s="7">
        <v>21.7546</v>
      </c>
      <c r="E361" s="7">
        <v>21.8374</v>
      </c>
      <c r="F361" s="7">
        <v>21.4423</v>
      </c>
      <c r="G361" s="7"/>
      <c r="H361" s="14">
        <v>21.6646</v>
      </c>
      <c r="I361" s="7">
        <v>25.4279</v>
      </c>
      <c r="J361" s="7">
        <v>26.1596</v>
      </c>
      <c r="K361" s="7"/>
      <c r="L361" s="7"/>
      <c r="M361" s="7">
        <v>26.6164</v>
      </c>
      <c r="N361" s="7">
        <v>25.4138</v>
      </c>
      <c r="O361" s="8">
        <v>15.9044</v>
      </c>
      <c r="P361" s="7"/>
      <c r="Q361" s="7">
        <v>10.996</v>
      </c>
      <c r="R361" s="15"/>
      <c r="S361" s="8"/>
    </row>
    <row r="362" spans="1:19" s="12" customFormat="1" ht="16.5" customHeight="1" hidden="1">
      <c r="A362" s="3"/>
      <c r="B362" s="13" t="s">
        <v>279</v>
      </c>
      <c r="C362" s="7">
        <v>22.4039</v>
      </c>
      <c r="D362" s="7">
        <v>22.0126</v>
      </c>
      <c r="E362" s="7">
        <v>22.0705</v>
      </c>
      <c r="F362" s="7">
        <v>21.6496</v>
      </c>
      <c r="G362" s="7"/>
      <c r="H362" s="14">
        <v>21.8974</v>
      </c>
      <c r="I362" s="7">
        <v>25.7114</v>
      </c>
      <c r="J362" s="7">
        <v>26.3804</v>
      </c>
      <c r="K362" s="7"/>
      <c r="L362" s="7"/>
      <c r="M362" s="7">
        <v>26.8633</v>
      </c>
      <c r="N362" s="7">
        <v>25.6733</v>
      </c>
      <c r="O362" s="8">
        <v>16.1125</v>
      </c>
      <c r="P362" s="7"/>
      <c r="Q362" s="7">
        <v>10.996</v>
      </c>
      <c r="R362" s="15"/>
      <c r="S362" s="8"/>
    </row>
    <row r="363" spans="1:19" s="12" customFormat="1" ht="16.5" customHeight="1" hidden="1">
      <c r="A363" s="3"/>
      <c r="B363" s="4" t="s">
        <v>13</v>
      </c>
      <c r="C363" s="11">
        <f>(C357*2+C358*7+C359*7+C360*7+C361*7+C362*1)/31</f>
        <v>22.0047</v>
      </c>
      <c r="D363" s="11">
        <f aca="true" t="shared" si="43" ref="D363:Q363">(D357*2+D358*7+D359*7+D360*7+D361*7+D362*1)/31</f>
        <v>21.613812903225806</v>
      </c>
      <c r="E363" s="11">
        <f t="shared" si="43"/>
        <v>21.711083870967745</v>
      </c>
      <c r="F363" s="11">
        <f t="shared" si="43"/>
        <v>21.330099999999998</v>
      </c>
      <c r="G363" s="11"/>
      <c r="H363" s="11">
        <f t="shared" si="43"/>
        <v>21.538209677419353</v>
      </c>
      <c r="I363" s="11">
        <f t="shared" si="43"/>
        <v>25.162148387096778</v>
      </c>
      <c r="J363" s="11">
        <f t="shared" si="43"/>
        <v>25.30466129032258</v>
      </c>
      <c r="K363" s="11"/>
      <c r="L363" s="11"/>
      <c r="M363" s="11">
        <f t="shared" si="43"/>
        <v>26.223941935483868</v>
      </c>
      <c r="N363" s="11">
        <f t="shared" si="43"/>
        <v>25.004258064516126</v>
      </c>
      <c r="O363" s="38">
        <f t="shared" si="43"/>
        <v>15.78994193548387</v>
      </c>
      <c r="P363" s="11"/>
      <c r="Q363" s="11">
        <f t="shared" si="43"/>
        <v>10.996</v>
      </c>
      <c r="R363" s="15"/>
      <c r="S363" s="8"/>
    </row>
    <row r="364" spans="1:19" s="12" customFormat="1" ht="16.5" customHeight="1" hidden="1">
      <c r="A364" s="3"/>
      <c r="B364" s="13" t="s">
        <v>226</v>
      </c>
      <c r="C364" s="7">
        <v>22.6885</v>
      </c>
      <c r="D364" s="7">
        <v>22.2958</v>
      </c>
      <c r="E364" s="7">
        <v>22.3532</v>
      </c>
      <c r="F364" s="7">
        <v>21.9302</v>
      </c>
      <c r="G364" s="7"/>
      <c r="H364" s="14">
        <v>22.1795</v>
      </c>
      <c r="I364" s="7">
        <v>26.3053</v>
      </c>
      <c r="J364" s="7">
        <v>26.4045</v>
      </c>
      <c r="K364" s="7"/>
      <c r="L364" s="7"/>
      <c r="M364" s="7">
        <v>26.8017</v>
      </c>
      <c r="N364" s="7">
        <v>25.7141</v>
      </c>
      <c r="O364" s="8">
        <v>16.2855</v>
      </c>
      <c r="P364" s="7"/>
      <c r="Q364" s="7">
        <v>10.996</v>
      </c>
      <c r="R364" s="15"/>
      <c r="S364" s="8"/>
    </row>
    <row r="365" spans="1:19" s="12" customFormat="1" ht="16.5" customHeight="1" hidden="1">
      <c r="A365" s="3"/>
      <c r="B365" s="13" t="s">
        <v>282</v>
      </c>
      <c r="C365" s="7">
        <v>23.5746</v>
      </c>
      <c r="D365" s="7">
        <v>23.1814</v>
      </c>
      <c r="E365" s="7">
        <v>23.1509</v>
      </c>
      <c r="F365" s="7">
        <v>22.6393</v>
      </c>
      <c r="G365" s="7"/>
      <c r="H365" s="14">
        <v>22.9767</v>
      </c>
      <c r="I365" s="7">
        <v>27.8202</v>
      </c>
      <c r="J365" s="7">
        <v>27.9108</v>
      </c>
      <c r="K365" s="7"/>
      <c r="L365" s="7"/>
      <c r="M365" s="7">
        <v>28.2364</v>
      </c>
      <c r="N365" s="7">
        <v>27.2692</v>
      </c>
      <c r="O365" s="8">
        <v>17.0169</v>
      </c>
      <c r="P365" s="7"/>
      <c r="Q365" s="7">
        <v>10.996</v>
      </c>
      <c r="R365" s="15"/>
      <c r="S365" s="8"/>
    </row>
    <row r="366" spans="1:19" s="12" customFormat="1" ht="16.5" customHeight="1" hidden="1">
      <c r="A366" s="3"/>
      <c r="B366" s="13" t="s">
        <v>283</v>
      </c>
      <c r="C366" s="7">
        <v>23.9223</v>
      </c>
      <c r="D366" s="7">
        <v>23.5305</v>
      </c>
      <c r="E366" s="7">
        <v>23.4631</v>
      </c>
      <c r="F366" s="7">
        <v>22.9164</v>
      </c>
      <c r="G366" s="7"/>
      <c r="H366" s="14">
        <v>23.2895</v>
      </c>
      <c r="I366" s="7">
        <v>28.3763</v>
      </c>
      <c r="J366" s="7">
        <v>28.7345</v>
      </c>
      <c r="K366" s="7"/>
      <c r="L366" s="7"/>
      <c r="M366" s="7">
        <v>29.0204</v>
      </c>
      <c r="N366" s="7">
        <v>28.1219</v>
      </c>
      <c r="O366" s="8">
        <v>17.2524</v>
      </c>
      <c r="P366" s="7"/>
      <c r="Q366" s="7">
        <v>10.996</v>
      </c>
      <c r="R366" s="15"/>
      <c r="S366" s="8"/>
    </row>
    <row r="367" spans="1:19" s="12" customFormat="1" ht="16.5" customHeight="1" hidden="1">
      <c r="A367" s="3"/>
      <c r="B367" s="13" t="s">
        <v>284</v>
      </c>
      <c r="C367" s="7">
        <v>24.4499</v>
      </c>
      <c r="D367" s="7">
        <v>24.0572</v>
      </c>
      <c r="E367" s="7">
        <v>23.9382</v>
      </c>
      <c r="F367" s="7">
        <v>23.3389</v>
      </c>
      <c r="G367" s="7"/>
      <c r="H367" s="14">
        <v>23.7642</v>
      </c>
      <c r="I367" s="7">
        <v>28.8392</v>
      </c>
      <c r="J367" s="7">
        <v>29.2114</v>
      </c>
      <c r="K367" s="7"/>
      <c r="L367" s="7"/>
      <c r="M367" s="7">
        <v>29.4578</v>
      </c>
      <c r="N367" s="7">
        <v>28.6249</v>
      </c>
      <c r="O367" s="8">
        <v>17.667</v>
      </c>
      <c r="P367" s="7"/>
      <c r="Q367" s="7">
        <v>10.996</v>
      </c>
      <c r="R367" s="15"/>
      <c r="S367" s="8"/>
    </row>
    <row r="368" spans="1:19" s="12" customFormat="1" ht="16.5" customHeight="1" hidden="1">
      <c r="A368" s="3"/>
      <c r="B368" s="13" t="s">
        <v>285</v>
      </c>
      <c r="C368" s="7">
        <v>24.4227</v>
      </c>
      <c r="D368" s="7">
        <v>24.0281</v>
      </c>
      <c r="E368" s="7">
        <v>23.9146</v>
      </c>
      <c r="F368" s="7">
        <v>23.9185</v>
      </c>
      <c r="G368" s="7"/>
      <c r="H368" s="14">
        <v>23.7398</v>
      </c>
      <c r="I368" s="7">
        <v>28.8687</v>
      </c>
      <c r="J368" s="7">
        <v>29.1607</v>
      </c>
      <c r="K368" s="7"/>
      <c r="L368" s="7"/>
      <c r="M368" s="7">
        <v>29.4439</v>
      </c>
      <c r="N368" s="7">
        <v>28.5474</v>
      </c>
      <c r="O368" s="8">
        <v>17.8853</v>
      </c>
      <c r="P368" s="7"/>
      <c r="Q368" s="7">
        <v>10.996</v>
      </c>
      <c r="R368" s="15"/>
      <c r="S368" s="8"/>
    </row>
    <row r="369" spans="1:19" s="12" customFormat="1" ht="16.5" customHeight="1" hidden="1">
      <c r="A369" s="3"/>
      <c r="B369" s="4" t="s">
        <v>13</v>
      </c>
      <c r="C369" s="11">
        <f>(C364*6+C365*7+C366*7+C367*7+C368*3)/30</f>
        <v>23.767556666666664</v>
      </c>
      <c r="D369" s="11">
        <f aca="true" t="shared" si="44" ref="D369:Q369">(D364*6+D365*7+D366*7+D367*7+D368*3)/30</f>
        <v>23.37476</v>
      </c>
      <c r="E369" s="11">
        <f t="shared" si="44"/>
        <v>23.324279999999998</v>
      </c>
      <c r="F369" s="11">
        <f t="shared" si="44"/>
        <v>22.853296666666665</v>
      </c>
      <c r="G369" s="11"/>
      <c r="H369" s="11">
        <f t="shared" si="44"/>
        <v>23.150306666666665</v>
      </c>
      <c r="I369" s="11">
        <f t="shared" si="44"/>
        <v>27.989593333333335</v>
      </c>
      <c r="J369" s="11">
        <f t="shared" si="44"/>
        <v>28.2302</v>
      </c>
      <c r="K369" s="11"/>
      <c r="L369" s="11"/>
      <c r="M369" s="11">
        <f>(M364*6+M365*7+M366*7+M367*7+M368*3)/30</f>
        <v>28.538136666666666</v>
      </c>
      <c r="N369" s="11">
        <f>(N364*6+N365*7+N366*7+N367*7+N368*3)/30</f>
        <v>27.601293333333334</v>
      </c>
      <c r="O369" s="38">
        <f t="shared" si="44"/>
        <v>17.1641</v>
      </c>
      <c r="P369" s="11"/>
      <c r="Q369" s="11">
        <f t="shared" si="44"/>
        <v>10.996000000000002</v>
      </c>
      <c r="R369" s="15"/>
      <c r="S369" s="8"/>
    </row>
    <row r="370" spans="1:19" s="12" customFormat="1" ht="16.5" customHeight="1" hidden="1">
      <c r="A370" s="3"/>
      <c r="B370" s="13" t="s">
        <v>230</v>
      </c>
      <c r="C370" s="7">
        <v>23.8923</v>
      </c>
      <c r="D370" s="7">
        <v>23.4978</v>
      </c>
      <c r="E370" s="7">
        <v>23.4374</v>
      </c>
      <c r="F370" s="7">
        <v>22.8943</v>
      </c>
      <c r="G370" s="7"/>
      <c r="H370" s="14">
        <v>23.2626</v>
      </c>
      <c r="I370" s="7">
        <v>28.3496</v>
      </c>
      <c r="J370" s="7">
        <v>28.7261</v>
      </c>
      <c r="K370" s="7"/>
      <c r="L370" s="7"/>
      <c r="M370" s="7">
        <v>29.0225</v>
      </c>
      <c r="N370" s="7">
        <v>28.0737</v>
      </c>
      <c r="O370" s="8">
        <v>17.8567</v>
      </c>
      <c r="P370" s="7"/>
      <c r="Q370" s="7">
        <v>10.996</v>
      </c>
      <c r="R370" s="15"/>
      <c r="S370" s="8"/>
    </row>
    <row r="371" spans="1:19" s="12" customFormat="1" ht="16.5" customHeight="1" hidden="1">
      <c r="A371" s="3"/>
      <c r="B371" s="13" t="s">
        <v>9</v>
      </c>
      <c r="C371" s="7">
        <v>25.5544</v>
      </c>
      <c r="D371" s="7">
        <v>25.1579</v>
      </c>
      <c r="E371" s="7">
        <v>24.9339</v>
      </c>
      <c r="F371" s="7">
        <v>24.225</v>
      </c>
      <c r="G371" s="7"/>
      <c r="H371" s="14">
        <v>24.7581</v>
      </c>
      <c r="I371" s="7">
        <v>30.2964</v>
      </c>
      <c r="J371" s="7">
        <v>30.4943</v>
      </c>
      <c r="K371" s="7"/>
      <c r="L371" s="7"/>
      <c r="M371" s="7">
        <v>30.7513</v>
      </c>
      <c r="N371" s="7">
        <v>29.8679</v>
      </c>
      <c r="O371" s="8">
        <v>18.7</v>
      </c>
      <c r="P371" s="7"/>
      <c r="Q371" s="7">
        <v>10.996</v>
      </c>
      <c r="R371" s="15"/>
      <c r="S371" s="8"/>
    </row>
    <row r="372" spans="1:19" s="12" customFormat="1" ht="16.5" customHeight="1" hidden="1">
      <c r="A372" s="3"/>
      <c r="B372" s="13" t="s">
        <v>10</v>
      </c>
      <c r="C372" s="7">
        <v>26.7645</v>
      </c>
      <c r="D372" s="7">
        <v>26.3618</v>
      </c>
      <c r="E372" s="7">
        <v>26.0257</v>
      </c>
      <c r="F372" s="7">
        <v>25.1971</v>
      </c>
      <c r="G372" s="7"/>
      <c r="H372" s="14">
        <v>25.847</v>
      </c>
      <c r="I372" s="7">
        <v>33.1625</v>
      </c>
      <c r="J372" s="7">
        <v>33.0073</v>
      </c>
      <c r="K372" s="7"/>
      <c r="L372" s="7"/>
      <c r="M372" s="7">
        <v>33.1341</v>
      </c>
      <c r="N372" s="7">
        <v>32.463</v>
      </c>
      <c r="O372" s="8">
        <v>19.3215</v>
      </c>
      <c r="P372" s="7"/>
      <c r="Q372" s="7">
        <v>10.996</v>
      </c>
      <c r="R372" s="15"/>
      <c r="S372" s="8"/>
    </row>
    <row r="373" spans="1:19" s="12" customFormat="1" ht="16.5" customHeight="1" hidden="1">
      <c r="A373" s="3"/>
      <c r="B373" s="13" t="s">
        <v>11</v>
      </c>
      <c r="C373" s="7">
        <v>27.7104</v>
      </c>
      <c r="D373" s="7">
        <v>27.3105</v>
      </c>
      <c r="E373" s="7">
        <v>26.8756</v>
      </c>
      <c r="F373" s="7">
        <v>25.9517</v>
      </c>
      <c r="G373" s="7"/>
      <c r="H373" s="14">
        <v>26.698</v>
      </c>
      <c r="I373" s="7">
        <v>34.5686</v>
      </c>
      <c r="J373" s="7">
        <v>34.4088</v>
      </c>
      <c r="K373" s="7"/>
      <c r="L373" s="7"/>
      <c r="M373" s="7">
        <v>34.4654</v>
      </c>
      <c r="N373" s="7">
        <v>33.9163</v>
      </c>
      <c r="O373" s="8">
        <v>20.3021</v>
      </c>
      <c r="P373" s="7"/>
      <c r="Q373" s="7">
        <v>10.996</v>
      </c>
      <c r="R373" s="15"/>
      <c r="S373" s="8"/>
    </row>
    <row r="374" spans="1:19" s="12" customFormat="1" ht="16.5" customHeight="1" hidden="1">
      <c r="A374" s="3"/>
      <c r="B374" s="13" t="s">
        <v>12</v>
      </c>
      <c r="C374" s="7">
        <v>28.0278</v>
      </c>
      <c r="D374" s="7">
        <v>27.6247</v>
      </c>
      <c r="E374" s="7">
        <v>27.1628</v>
      </c>
      <c r="F374" s="7">
        <v>26.2079</v>
      </c>
      <c r="G374" s="7"/>
      <c r="H374" s="14">
        <v>26.9837</v>
      </c>
      <c r="I374" s="7">
        <v>34.4466</v>
      </c>
      <c r="J374" s="7">
        <v>34.2319</v>
      </c>
      <c r="K374" s="7"/>
      <c r="L374" s="7"/>
      <c r="M374" s="7">
        <v>34.3454</v>
      </c>
      <c r="N374" s="7">
        <v>33.6974</v>
      </c>
      <c r="O374" s="8">
        <v>20.0947</v>
      </c>
      <c r="P374" s="7"/>
      <c r="Q374" s="7">
        <v>10.996</v>
      </c>
      <c r="R374" s="15"/>
      <c r="S374" s="8"/>
    </row>
    <row r="375" spans="1:19" s="12" customFormat="1" ht="16.5" customHeight="1" hidden="1">
      <c r="A375" s="3"/>
      <c r="B375" s="4" t="s">
        <v>13</v>
      </c>
      <c r="C375" s="11">
        <f>(C370*4+C371*7+C372*7+C373*7+C374*6)/31</f>
        <v>26.57874516129032</v>
      </c>
      <c r="D375" s="11">
        <f aca="true" t="shared" si="45" ref="D375:O375">(D370*4+D371*7+D372*7+D373*7+D374*6)/31</f>
        <v>26.179058064516127</v>
      </c>
      <c r="E375" s="11">
        <f t="shared" si="45"/>
        <v>25.857187096774194</v>
      </c>
      <c r="F375" s="11">
        <f t="shared" si="45"/>
        <v>25.046490322580645</v>
      </c>
      <c r="G375" s="11"/>
      <c r="H375" s="11">
        <f t="shared" si="45"/>
        <v>25.679816129032254</v>
      </c>
      <c r="I375" s="11">
        <f t="shared" si="45"/>
        <v>32.460338709677416</v>
      </c>
      <c r="J375" s="11">
        <f t="shared" si="45"/>
        <v>32.44092258064516</v>
      </c>
      <c r="K375" s="11"/>
      <c r="L375" s="11"/>
      <c r="M375" s="11">
        <f t="shared" si="45"/>
        <v>32.600580645161294</v>
      </c>
      <c r="N375" s="11">
        <f t="shared" si="45"/>
        <v>31.877729032258063</v>
      </c>
      <c r="O375" s="38">
        <f t="shared" si="45"/>
        <v>19.363232258064514</v>
      </c>
      <c r="P375" s="11"/>
      <c r="Q375" s="11">
        <f>(Q370*4+Q371*7+Q372*7+Q373*7+Q374*6)/31</f>
        <v>10.996</v>
      </c>
      <c r="R375" s="15"/>
      <c r="S375" s="8"/>
    </row>
    <row r="376" spans="1:19" s="12" customFormat="1" ht="16.5" customHeight="1" hidden="1">
      <c r="A376" s="3"/>
      <c r="B376" s="13" t="s">
        <v>233</v>
      </c>
      <c r="C376" s="7">
        <v>28.2041</v>
      </c>
      <c r="D376" s="7">
        <v>27.7991</v>
      </c>
      <c r="E376" s="7">
        <v>27.3223</v>
      </c>
      <c r="F376" s="7">
        <v>26.3502</v>
      </c>
      <c r="G376" s="7"/>
      <c r="H376" s="14">
        <v>27.1424</v>
      </c>
      <c r="I376" s="7">
        <v>33.2483</v>
      </c>
      <c r="J376" s="7">
        <v>33.145</v>
      </c>
      <c r="K376" s="7"/>
      <c r="L376" s="7"/>
      <c r="M376" s="7">
        <v>33.2917</v>
      </c>
      <c r="N376" s="7">
        <v>32.5424</v>
      </c>
      <c r="O376" s="8">
        <v>19.5742</v>
      </c>
      <c r="P376" s="7"/>
      <c r="Q376" s="7">
        <v>10.996</v>
      </c>
      <c r="R376" s="15"/>
      <c r="S376" s="8"/>
    </row>
    <row r="377" spans="1:19" s="12" customFormat="1" ht="16.5" customHeight="1" hidden="1">
      <c r="A377" s="3"/>
      <c r="B377" s="13" t="s">
        <v>14</v>
      </c>
      <c r="C377" s="7">
        <v>28.7385</v>
      </c>
      <c r="D377" s="7">
        <v>28.3289</v>
      </c>
      <c r="E377" s="7">
        <v>27.8053</v>
      </c>
      <c r="F377" s="7">
        <v>26.7808</v>
      </c>
      <c r="G377" s="7"/>
      <c r="H377" s="14">
        <v>27.6233</v>
      </c>
      <c r="I377" s="7">
        <v>33.8613</v>
      </c>
      <c r="J377" s="7">
        <v>34.0796</v>
      </c>
      <c r="K377" s="7"/>
      <c r="L377" s="7"/>
      <c r="M377" s="7">
        <v>34.2115</v>
      </c>
      <c r="N377" s="7">
        <v>33.4819</v>
      </c>
      <c r="O377" s="8">
        <v>19.8613</v>
      </c>
      <c r="P377" s="7"/>
      <c r="Q377" s="7">
        <v>10.996</v>
      </c>
      <c r="R377" s="15"/>
      <c r="S377" s="8"/>
    </row>
    <row r="378" spans="1:19" s="12" customFormat="1" ht="16.5" customHeight="1" hidden="1">
      <c r="A378" s="3"/>
      <c r="B378" s="13" t="s">
        <v>15</v>
      </c>
      <c r="C378" s="7">
        <v>29.7443</v>
      </c>
      <c r="D378" s="7">
        <v>29.3304</v>
      </c>
      <c r="E378" s="7">
        <v>28.7123</v>
      </c>
      <c r="F378" s="7">
        <v>27.5882</v>
      </c>
      <c r="G378" s="7"/>
      <c r="H378" s="14">
        <v>28.5283</v>
      </c>
      <c r="I378" s="7">
        <v>35.2702</v>
      </c>
      <c r="J378" s="7">
        <v>35.7608</v>
      </c>
      <c r="K378" s="7"/>
      <c r="L378" s="7"/>
      <c r="M378" s="7">
        <v>35.8857</v>
      </c>
      <c r="N378" s="7">
        <v>35.1641</v>
      </c>
      <c r="O378" s="8">
        <v>21.1489</v>
      </c>
      <c r="P378" s="7"/>
      <c r="Q378" s="7">
        <v>10.996</v>
      </c>
      <c r="R378" s="15"/>
      <c r="S378" s="8"/>
    </row>
    <row r="379" spans="1:19" s="12" customFormat="1" ht="16.5" customHeight="1" hidden="1">
      <c r="A379" s="3"/>
      <c r="B379" s="13" t="s">
        <v>16</v>
      </c>
      <c r="C379" s="7">
        <v>29.6715</v>
      </c>
      <c r="D379" s="7">
        <v>29.2555</v>
      </c>
      <c r="E379" s="7">
        <v>28.6478</v>
      </c>
      <c r="F379" s="7">
        <v>27.5315</v>
      </c>
      <c r="G379" s="7"/>
      <c r="H379" s="14">
        <v>28.4629</v>
      </c>
      <c r="I379" s="7">
        <v>35.0044</v>
      </c>
      <c r="J379" s="7">
        <v>35.6326</v>
      </c>
      <c r="K379" s="7"/>
      <c r="L379" s="7"/>
      <c r="M379" s="7">
        <v>35.79</v>
      </c>
      <c r="N379" s="7">
        <v>35.0156</v>
      </c>
      <c r="O379" s="8">
        <v>21.5704</v>
      </c>
      <c r="P379" s="7"/>
      <c r="Q379" s="7">
        <v>10.996</v>
      </c>
      <c r="R379" s="15"/>
      <c r="S379" s="8"/>
    </row>
    <row r="380" spans="1:19" s="12" customFormat="1" ht="16.5" customHeight="1" hidden="1">
      <c r="A380" s="3"/>
      <c r="B380" s="13" t="s">
        <v>17</v>
      </c>
      <c r="C380" s="7">
        <v>30.2793</v>
      </c>
      <c r="D380" s="7">
        <v>29.8609</v>
      </c>
      <c r="E380" s="7">
        <v>29.1959</v>
      </c>
      <c r="F380" s="7">
        <v>28.0194</v>
      </c>
      <c r="G380" s="7"/>
      <c r="H380" s="14">
        <v>29.0099</v>
      </c>
      <c r="I380" s="7">
        <v>35.596</v>
      </c>
      <c r="J380" s="7">
        <v>36.375</v>
      </c>
      <c r="K380" s="7"/>
      <c r="L380" s="7"/>
      <c r="M380" s="7">
        <v>36.5312</v>
      </c>
      <c r="N380" s="7">
        <v>35.7518</v>
      </c>
      <c r="O380" s="8">
        <v>22.4095</v>
      </c>
      <c r="P380" s="7"/>
      <c r="Q380" s="7">
        <v>10.996</v>
      </c>
      <c r="R380" s="15"/>
      <c r="S380" s="8"/>
    </row>
    <row r="381" spans="1:19" s="12" customFormat="1" ht="16.5" customHeight="1" hidden="1">
      <c r="A381" s="3"/>
      <c r="B381" s="13" t="s">
        <v>18</v>
      </c>
      <c r="C381" s="7">
        <v>31.013</v>
      </c>
      <c r="D381" s="7">
        <v>30.5944</v>
      </c>
      <c r="E381" s="7">
        <v>29.8562</v>
      </c>
      <c r="F381" s="7">
        <v>28.6063</v>
      </c>
      <c r="G381" s="7"/>
      <c r="H381" s="14">
        <v>29.67</v>
      </c>
      <c r="I381" s="7">
        <v>36.5149</v>
      </c>
      <c r="J381" s="7">
        <v>36.9726</v>
      </c>
      <c r="K381" s="7"/>
      <c r="L381" s="7"/>
      <c r="M381" s="7">
        <v>37.1354</v>
      </c>
      <c r="N381" s="7">
        <v>36.3457</v>
      </c>
      <c r="O381" s="8">
        <v>23.1306</v>
      </c>
      <c r="P381" s="7"/>
      <c r="Q381" s="7">
        <v>10.996</v>
      </c>
      <c r="R381" s="15"/>
      <c r="S381" s="8"/>
    </row>
    <row r="382" spans="1:19" s="12" customFormat="1" ht="16.5" customHeight="1" hidden="1">
      <c r="A382" s="3"/>
      <c r="B382" s="4" t="s">
        <v>13</v>
      </c>
      <c r="C382" s="11">
        <f>(C376*1+C377*7+C378*7+C379*7+C380*7+C381*1)/30</f>
        <v>29.608410000000003</v>
      </c>
      <c r="D382" s="11">
        <f aca="true" t="shared" si="46" ref="D382:Q382">(D376*1+D377*7+D378*7+D379*7+D380*7+D381*1)/30</f>
        <v>29.194113333333334</v>
      </c>
      <c r="E382" s="11">
        <f t="shared" si="46"/>
        <v>28.590253333333333</v>
      </c>
      <c r="F382" s="11">
        <f t="shared" si="46"/>
        <v>27.479860000000006</v>
      </c>
      <c r="G382" s="11"/>
      <c r="H382" s="11">
        <f t="shared" si="46"/>
        <v>28.40610666666667</v>
      </c>
      <c r="I382" s="11">
        <f t="shared" si="46"/>
        <v>34.92954999999999</v>
      </c>
      <c r="J382" s="11">
        <f t="shared" si="46"/>
        <v>35.435120000000005</v>
      </c>
      <c r="K382" s="11"/>
      <c r="L382" s="11"/>
      <c r="M382" s="11">
        <f t="shared" si="46"/>
        <v>35.57852999999999</v>
      </c>
      <c r="N382" s="11">
        <f t="shared" si="46"/>
        <v>34.82606333333333</v>
      </c>
      <c r="O382" s="38">
        <f t="shared" si="46"/>
        <v>21.254516666666667</v>
      </c>
      <c r="P382" s="11"/>
      <c r="Q382" s="11">
        <f t="shared" si="46"/>
        <v>10.996</v>
      </c>
      <c r="R382" s="15"/>
      <c r="S382" s="8"/>
    </row>
    <row r="383" spans="1:19" s="12" customFormat="1" ht="16.5" customHeight="1" hidden="1">
      <c r="A383" s="3"/>
      <c r="B383" s="13" t="s">
        <v>238</v>
      </c>
      <c r="C383" s="7">
        <v>31.0474</v>
      </c>
      <c r="D383" s="7">
        <v>30.6279</v>
      </c>
      <c r="E383" s="7">
        <v>29.9338</v>
      </c>
      <c r="F383" s="7">
        <v>28.7272</v>
      </c>
      <c r="G383" s="7"/>
      <c r="H383" s="14">
        <v>29.746</v>
      </c>
      <c r="I383" s="7">
        <v>37.6544</v>
      </c>
      <c r="J383" s="7">
        <v>37.8472</v>
      </c>
      <c r="K383" s="7"/>
      <c r="L383" s="7"/>
      <c r="M383" s="7">
        <v>37.9832</v>
      </c>
      <c r="N383" s="7">
        <v>37.19</v>
      </c>
      <c r="O383" s="8">
        <v>24.2139</v>
      </c>
      <c r="P383" s="7"/>
      <c r="Q383" s="7">
        <v>10.996</v>
      </c>
      <c r="R383" s="15"/>
      <c r="S383" s="8"/>
    </row>
    <row r="384" spans="1:19" s="12" customFormat="1" ht="16.5" customHeight="1" hidden="1">
      <c r="A384" s="3"/>
      <c r="B384" s="13" t="s">
        <v>19</v>
      </c>
      <c r="C384" s="7">
        <v>30.5724</v>
      </c>
      <c r="D384" s="7">
        <v>30.15</v>
      </c>
      <c r="E384" s="7">
        <v>29.5075</v>
      </c>
      <c r="F384" s="7">
        <v>28.349</v>
      </c>
      <c r="G384" s="7"/>
      <c r="H384" s="14">
        <v>29.3187</v>
      </c>
      <c r="I384" s="7">
        <v>37.1822</v>
      </c>
      <c r="J384" s="7">
        <v>37.5198</v>
      </c>
      <c r="K384" s="7"/>
      <c r="L384" s="7"/>
      <c r="M384" s="7">
        <v>37.6493</v>
      </c>
      <c r="N384" s="7">
        <v>36.8629</v>
      </c>
      <c r="O384" s="8">
        <v>24.9722</v>
      </c>
      <c r="P384" s="7"/>
      <c r="Q384" s="7">
        <v>10.996</v>
      </c>
      <c r="R384" s="15"/>
      <c r="S384" s="8"/>
    </row>
    <row r="385" spans="1:19" s="12" customFormat="1" ht="16.5" customHeight="1" hidden="1">
      <c r="A385" s="3"/>
      <c r="B385" s="13" t="s">
        <v>20</v>
      </c>
      <c r="C385" s="7">
        <v>28.9105</v>
      </c>
      <c r="D385" s="7">
        <v>28.4913</v>
      </c>
      <c r="E385" s="7">
        <v>28.0105</v>
      </c>
      <c r="F385" s="7">
        <v>27.0177</v>
      </c>
      <c r="G385" s="7"/>
      <c r="H385" s="14">
        <v>27.8234</v>
      </c>
      <c r="I385" s="7">
        <v>36.0947</v>
      </c>
      <c r="J385" s="7">
        <v>36.0151</v>
      </c>
      <c r="K385" s="7"/>
      <c r="L385" s="7"/>
      <c r="M385" s="7">
        <v>36.2219</v>
      </c>
      <c r="N385" s="7">
        <v>35.3091</v>
      </c>
      <c r="O385" s="8">
        <v>24.8026</v>
      </c>
      <c r="P385" s="7"/>
      <c r="Q385" s="7">
        <v>10.996</v>
      </c>
      <c r="R385" s="15"/>
      <c r="S385" s="8"/>
    </row>
    <row r="386" spans="1:19" s="12" customFormat="1" ht="16.5" customHeight="1" hidden="1">
      <c r="A386" s="3"/>
      <c r="B386" s="13" t="s">
        <v>21</v>
      </c>
      <c r="C386" s="7">
        <v>26.6659</v>
      </c>
      <c r="D386" s="7">
        <v>26.2481</v>
      </c>
      <c r="E386" s="7">
        <v>25.9901</v>
      </c>
      <c r="F386" s="7">
        <v>25.2216</v>
      </c>
      <c r="G386" s="7"/>
      <c r="H386" s="14">
        <v>25.8039</v>
      </c>
      <c r="I386" s="7">
        <v>33.8452</v>
      </c>
      <c r="J386" s="7">
        <v>33.6251</v>
      </c>
      <c r="K386" s="7"/>
      <c r="L386" s="7"/>
      <c r="M386" s="7">
        <v>33.8962</v>
      </c>
      <c r="N386" s="7">
        <v>32.8751</v>
      </c>
      <c r="O386" s="8">
        <v>23.1415</v>
      </c>
      <c r="P386" s="7"/>
      <c r="Q386" s="7">
        <v>10.996</v>
      </c>
      <c r="R386" s="15"/>
      <c r="S386" s="8"/>
    </row>
    <row r="387" spans="1:19" s="12" customFormat="1" ht="16.5" customHeight="1" hidden="1">
      <c r="A387" s="3"/>
      <c r="B387" s="13" t="s">
        <v>22</v>
      </c>
      <c r="C387" s="7">
        <v>26.2609</v>
      </c>
      <c r="D387" s="7">
        <v>25.842</v>
      </c>
      <c r="E387" s="7">
        <v>25.6261</v>
      </c>
      <c r="F387" s="7">
        <v>24.8982</v>
      </c>
      <c r="G387" s="7"/>
      <c r="H387" s="14">
        <v>25.4394</v>
      </c>
      <c r="I387" s="7">
        <v>33.0437</v>
      </c>
      <c r="J387" s="7">
        <v>32.8434</v>
      </c>
      <c r="K387" s="7"/>
      <c r="L387" s="7"/>
      <c r="M387" s="7">
        <v>33.1402</v>
      </c>
      <c r="N387" s="7">
        <v>32.0738</v>
      </c>
      <c r="O387" s="8">
        <v>23.4121</v>
      </c>
      <c r="P387" s="7"/>
      <c r="Q387" s="7">
        <v>10.996</v>
      </c>
      <c r="R387" s="15"/>
      <c r="S387" s="8"/>
    </row>
    <row r="388" spans="1:19" s="12" customFormat="1" ht="16.5" customHeight="1" hidden="1">
      <c r="A388" s="3"/>
      <c r="B388" s="4" t="s">
        <v>13</v>
      </c>
      <c r="C388" s="11">
        <f>(C383*6+C384*7+C385*7+C386*7+C387*4)/31</f>
        <v>28.850632258064515</v>
      </c>
      <c r="D388" s="11">
        <f aca="true" t="shared" si="47" ref="D388:Q388">(D383*6+D384*7+D385*7+D386*7+D387*4)/31</f>
        <v>28.431006451612905</v>
      </c>
      <c r="E388" s="11">
        <f t="shared" si="47"/>
        <v>27.9569</v>
      </c>
      <c r="F388" s="11">
        <f t="shared" si="47"/>
        <v>26.970132258064517</v>
      </c>
      <c r="G388" s="11"/>
      <c r="H388" s="11">
        <f t="shared" si="47"/>
        <v>27.76953548387097</v>
      </c>
      <c r="I388" s="11">
        <f t="shared" si="47"/>
        <v>35.740512903225806</v>
      </c>
      <c r="J388" s="11">
        <f t="shared" si="47"/>
        <v>35.76054193548387</v>
      </c>
      <c r="K388" s="11"/>
      <c r="L388" s="11"/>
      <c r="M388" s="11">
        <f t="shared" si="47"/>
        <v>35.96231612903225</v>
      </c>
      <c r="N388" s="11">
        <f t="shared" si="47"/>
        <v>35.05693225806452</v>
      </c>
      <c r="O388" s="38">
        <f t="shared" si="47"/>
        <v>24.172448387096775</v>
      </c>
      <c r="P388" s="11"/>
      <c r="Q388" s="11">
        <f t="shared" si="47"/>
        <v>10.996</v>
      </c>
      <c r="R388" s="15"/>
      <c r="S388" s="8"/>
    </row>
    <row r="389" spans="1:19" s="12" customFormat="1" ht="16.5" customHeight="1" hidden="1">
      <c r="A389" s="3"/>
      <c r="B389" s="13" t="s">
        <v>244</v>
      </c>
      <c r="C389" s="7">
        <v>26.1594</v>
      </c>
      <c r="D389" s="7">
        <v>25.7401</v>
      </c>
      <c r="E389" s="7">
        <v>25.535</v>
      </c>
      <c r="F389" s="7">
        <v>24.8174</v>
      </c>
      <c r="G389" s="7"/>
      <c r="H389" s="14">
        <v>25.3482</v>
      </c>
      <c r="I389" s="7">
        <v>32.0547</v>
      </c>
      <c r="J389" s="7">
        <v>31.7554</v>
      </c>
      <c r="K389" s="7"/>
      <c r="L389" s="7"/>
      <c r="M389" s="7">
        <v>32.0855</v>
      </c>
      <c r="N389" s="7">
        <v>30.9555</v>
      </c>
      <c r="O389" s="8">
        <v>23.667</v>
      </c>
      <c r="P389" s="7"/>
      <c r="Q389" s="7">
        <v>10.996</v>
      </c>
      <c r="R389" s="15"/>
      <c r="S389" s="8"/>
    </row>
    <row r="390" spans="1:19" s="12" customFormat="1" ht="16.5" customHeight="1" hidden="1">
      <c r="A390" s="3"/>
      <c r="B390" s="13" t="s">
        <v>23</v>
      </c>
      <c r="C390" s="7">
        <v>25.245</v>
      </c>
      <c r="D390" s="7">
        <v>24.8247</v>
      </c>
      <c r="E390" s="7">
        <v>24.7127</v>
      </c>
      <c r="F390" s="7">
        <v>24.0868</v>
      </c>
      <c r="G390" s="7"/>
      <c r="H390" s="14">
        <v>24.5255</v>
      </c>
      <c r="I390" s="7">
        <v>30.3483</v>
      </c>
      <c r="J390" s="7">
        <v>29.8165</v>
      </c>
      <c r="K390" s="7"/>
      <c r="L390" s="7"/>
      <c r="M390" s="7">
        <v>30.1059</v>
      </c>
      <c r="N390" s="7">
        <v>29.0401</v>
      </c>
      <c r="O390" s="8">
        <v>22.6003</v>
      </c>
      <c r="P390" s="7"/>
      <c r="Q390" s="7">
        <v>10.996</v>
      </c>
      <c r="R390" s="15"/>
      <c r="S390" s="8"/>
    </row>
    <row r="391" spans="1:19" s="12" customFormat="1" ht="16.5" customHeight="1" hidden="1">
      <c r="A391" s="3"/>
      <c r="B391" s="13" t="s">
        <v>24</v>
      </c>
      <c r="C391" s="7">
        <v>24.5013</v>
      </c>
      <c r="D391" s="7">
        <v>24.08</v>
      </c>
      <c r="E391" s="7">
        <v>24.0439</v>
      </c>
      <c r="F391" s="7">
        <v>23.4928</v>
      </c>
      <c r="G391" s="7"/>
      <c r="H391" s="14">
        <v>23.8565</v>
      </c>
      <c r="I391" s="7">
        <v>29.1355</v>
      </c>
      <c r="J391" s="7">
        <v>28.2755</v>
      </c>
      <c r="K391" s="7"/>
      <c r="L391" s="7"/>
      <c r="M391" s="7">
        <v>28.5297</v>
      </c>
      <c r="N391" s="7">
        <v>27.5194</v>
      </c>
      <c r="O391" s="8">
        <v>21.6358</v>
      </c>
      <c r="P391" s="7"/>
      <c r="Q391" s="7">
        <v>10.996</v>
      </c>
      <c r="R391" s="15"/>
      <c r="S391" s="8"/>
    </row>
    <row r="392" spans="1:19" s="12" customFormat="1" ht="16.5" customHeight="1" hidden="1">
      <c r="A392" s="3"/>
      <c r="B392" s="13" t="s">
        <v>25</v>
      </c>
      <c r="C392" s="7">
        <v>24.6782</v>
      </c>
      <c r="D392" s="7">
        <v>24.254</v>
      </c>
      <c r="E392" s="7">
        <v>24.2044</v>
      </c>
      <c r="F392" s="7">
        <v>23.6362</v>
      </c>
      <c r="G392" s="7"/>
      <c r="H392" s="14">
        <v>24.0157</v>
      </c>
      <c r="I392" s="7">
        <v>29.1029</v>
      </c>
      <c r="J392" s="7">
        <v>28.1303</v>
      </c>
      <c r="K392" s="7"/>
      <c r="L392" s="7"/>
      <c r="M392" s="7">
        <v>28.3011</v>
      </c>
      <c r="N392" s="7">
        <v>27.4255</v>
      </c>
      <c r="O392" s="8">
        <v>22.2312</v>
      </c>
      <c r="P392" s="7"/>
      <c r="Q392" s="7">
        <v>10.996</v>
      </c>
      <c r="R392" s="15"/>
      <c r="S392" s="8"/>
    </row>
    <row r="393" spans="1:19" s="12" customFormat="1" ht="16.5" customHeight="1" hidden="1">
      <c r="A393" s="3"/>
      <c r="B393" s="13" t="s">
        <v>26</v>
      </c>
      <c r="C393" s="7">
        <v>25.2496</v>
      </c>
      <c r="D393" s="7">
        <v>24.823</v>
      </c>
      <c r="E393" s="7">
        <v>24.7197</v>
      </c>
      <c r="F393" s="7">
        <v>24.0949</v>
      </c>
      <c r="G393" s="7"/>
      <c r="H393" s="14">
        <v>24.5298</v>
      </c>
      <c r="I393" s="7">
        <v>29.3894</v>
      </c>
      <c r="J393" s="7">
        <v>28.5989</v>
      </c>
      <c r="K393" s="7"/>
      <c r="L393" s="7"/>
      <c r="M393" s="7">
        <v>28.692</v>
      </c>
      <c r="N393" s="7">
        <v>27.943</v>
      </c>
      <c r="O393" s="8">
        <v>23.0531</v>
      </c>
      <c r="P393" s="7"/>
      <c r="Q393" s="7">
        <v>10.996</v>
      </c>
      <c r="R393" s="15"/>
      <c r="S393" s="8"/>
    </row>
    <row r="394" spans="1:19" s="12" customFormat="1" ht="16.5" customHeight="1" hidden="1">
      <c r="A394" s="3"/>
      <c r="B394" s="4" t="s">
        <v>13</v>
      </c>
      <c r="C394" s="11">
        <f>(C389*3+C390*7+C391*7+C392*7+C393*7)/31</f>
        <v>25.038609677419355</v>
      </c>
      <c r="D394" s="11">
        <f aca="true" t="shared" si="48" ref="D394:Q394">(D389*3+D390*7+D391*7+D392*7+D393*7)/31</f>
        <v>24.61587741935484</v>
      </c>
      <c r="E394" s="11">
        <f>(E389*3+E390*7+E391*7+E392*7+E393*7)/31</f>
        <v>24.528061290322583</v>
      </c>
      <c r="F394" s="11">
        <f t="shared" si="48"/>
        <v>23.923454838709677</v>
      </c>
      <c r="G394" s="11"/>
      <c r="H394" s="11">
        <f t="shared" si="48"/>
        <v>24.339906451612908</v>
      </c>
      <c r="I394" s="11">
        <f t="shared" si="48"/>
        <v>29.741832258064512</v>
      </c>
      <c r="J394" s="11">
        <f t="shared" si="48"/>
        <v>29.000470967741936</v>
      </c>
      <c r="K394" s="11"/>
      <c r="L394" s="11"/>
      <c r="M394" s="11">
        <f t="shared" si="48"/>
        <v>29.21475483870968</v>
      </c>
      <c r="N394" s="11">
        <f t="shared" si="48"/>
        <v>28.269758064516132</v>
      </c>
      <c r="O394" s="38">
        <f>(O389*3+O390*7+O391*7+O392*7+O393*7)/31</f>
        <v>22.504638709677423</v>
      </c>
      <c r="P394" s="11"/>
      <c r="Q394" s="11">
        <f t="shared" si="48"/>
        <v>10.995999999999999</v>
      </c>
      <c r="R394" s="15"/>
      <c r="S394" s="8"/>
    </row>
    <row r="395" spans="1:19" s="12" customFormat="1" ht="16.5" customHeight="1" hidden="1">
      <c r="A395" s="3"/>
      <c r="B395" s="13" t="s">
        <v>27</v>
      </c>
      <c r="C395" s="7">
        <v>24.2079</v>
      </c>
      <c r="D395" s="7">
        <v>23.776</v>
      </c>
      <c r="E395" s="7">
        <v>23.7838</v>
      </c>
      <c r="F395" s="7">
        <v>23.2641</v>
      </c>
      <c r="G395" s="7"/>
      <c r="H395" s="14">
        <v>23.5908</v>
      </c>
      <c r="I395" s="7">
        <v>27.8428</v>
      </c>
      <c r="J395" s="7">
        <v>27.3745</v>
      </c>
      <c r="K395" s="7"/>
      <c r="L395" s="7"/>
      <c r="M395" s="7">
        <v>27.4643</v>
      </c>
      <c r="N395" s="7">
        <v>26.7553</v>
      </c>
      <c r="O395" s="8">
        <v>21.864</v>
      </c>
      <c r="P395" s="7"/>
      <c r="Q395" s="7">
        <v>10.996</v>
      </c>
      <c r="R395" s="15"/>
      <c r="S395" s="8"/>
    </row>
    <row r="396" spans="1:19" s="12" customFormat="1" ht="16.5" customHeight="1" hidden="1">
      <c r="A396" s="3"/>
      <c r="B396" s="13" t="s">
        <v>28</v>
      </c>
      <c r="C396" s="7">
        <v>23.7637</v>
      </c>
      <c r="D396" s="7">
        <v>23.3297</v>
      </c>
      <c r="E396" s="7">
        <v>23.385</v>
      </c>
      <c r="F396" s="7">
        <v>22.9101</v>
      </c>
      <c r="G396" s="7"/>
      <c r="H396" s="14">
        <v>23.1911</v>
      </c>
      <c r="I396" s="7">
        <v>26.721</v>
      </c>
      <c r="J396" s="7">
        <v>26.293</v>
      </c>
      <c r="K396" s="7"/>
      <c r="L396" s="7"/>
      <c r="M396" s="7">
        <v>26.4279</v>
      </c>
      <c r="N396" s="7">
        <v>25.6399</v>
      </c>
      <c r="O396" s="8">
        <v>20.1057</v>
      </c>
      <c r="P396" s="7"/>
      <c r="Q396" s="7">
        <v>10.996</v>
      </c>
      <c r="R396" s="15"/>
      <c r="S396" s="8"/>
    </row>
    <row r="397" spans="1:19" s="12" customFormat="1" ht="16.5" customHeight="1" hidden="1">
      <c r="A397" s="3"/>
      <c r="B397" s="13" t="s">
        <v>29</v>
      </c>
      <c r="C397" s="7">
        <v>22.5868</v>
      </c>
      <c r="D397" s="7">
        <v>22.1582</v>
      </c>
      <c r="E397" s="7">
        <v>22.3236</v>
      </c>
      <c r="F397" s="7">
        <v>21.9652</v>
      </c>
      <c r="G397" s="7"/>
      <c r="H397" s="14">
        <v>22.1322</v>
      </c>
      <c r="I397" s="7">
        <v>25.6275</v>
      </c>
      <c r="J397" s="7">
        <v>25.6087</v>
      </c>
      <c r="K397" s="7"/>
      <c r="L397" s="7"/>
      <c r="M397" s="7">
        <v>25.745</v>
      </c>
      <c r="N397" s="7">
        <v>24.9608</v>
      </c>
      <c r="O397" s="8">
        <v>18.5111</v>
      </c>
      <c r="P397" s="7"/>
      <c r="Q397" s="7">
        <v>10.996</v>
      </c>
      <c r="R397" s="15"/>
      <c r="S397" s="8"/>
    </row>
    <row r="398" spans="1:19" s="12" customFormat="1" ht="16.5" customHeight="1" hidden="1">
      <c r="A398" s="3"/>
      <c r="B398" s="13" t="s">
        <v>30</v>
      </c>
      <c r="C398" s="7">
        <v>23.5527</v>
      </c>
      <c r="D398" s="7">
        <v>23.1272</v>
      </c>
      <c r="E398" s="7">
        <v>23.1912</v>
      </c>
      <c r="F398" s="7">
        <v>22.7355</v>
      </c>
      <c r="G398" s="7"/>
      <c r="H398" s="14">
        <v>23.0011</v>
      </c>
      <c r="I398" s="7">
        <v>26.3591</v>
      </c>
      <c r="J398" s="7">
        <v>26.4242</v>
      </c>
      <c r="K398" s="7"/>
      <c r="L398" s="7"/>
      <c r="M398" s="7">
        <v>26.5111</v>
      </c>
      <c r="N398" s="7">
        <v>25.8149</v>
      </c>
      <c r="O398" s="8">
        <v>19.6658</v>
      </c>
      <c r="P398" s="7"/>
      <c r="Q398" s="7">
        <v>10.996</v>
      </c>
      <c r="R398" s="15"/>
      <c r="S398" s="8"/>
    </row>
    <row r="399" spans="1:19" s="12" customFormat="1" ht="16.5" customHeight="1" hidden="1">
      <c r="A399" s="3"/>
      <c r="B399" s="13" t="s">
        <v>31</v>
      </c>
      <c r="C399" s="7">
        <v>22.5919</v>
      </c>
      <c r="D399" s="7">
        <v>22.1655</v>
      </c>
      <c r="E399" s="7">
        <v>22.3271</v>
      </c>
      <c r="F399" s="7">
        <v>21.9678</v>
      </c>
      <c r="G399" s="7"/>
      <c r="H399" s="14">
        <v>22.1367</v>
      </c>
      <c r="I399" s="7">
        <v>25.1182</v>
      </c>
      <c r="J399" s="7">
        <v>25.0414</v>
      </c>
      <c r="K399" s="7"/>
      <c r="L399" s="7"/>
      <c r="M399" s="7">
        <v>25.1023</v>
      </c>
      <c r="N399" s="7">
        <v>24.4463</v>
      </c>
      <c r="O399" s="8">
        <v>19.1534</v>
      </c>
      <c r="P399" s="7"/>
      <c r="Q399" s="7">
        <v>10.996</v>
      </c>
      <c r="R399" s="15"/>
      <c r="S399" s="8"/>
    </row>
    <row r="400" spans="1:19" s="12" customFormat="1" ht="16.5" customHeight="1" hidden="1">
      <c r="A400" s="3"/>
      <c r="B400" s="4" t="s">
        <v>13</v>
      </c>
      <c r="C400" s="11">
        <f>(C395*7+C396*7+C397*7+C398*7+C399*2)/30</f>
        <v>23.46538333333333</v>
      </c>
      <c r="D400" s="11">
        <f aca="true" t="shared" si="49" ref="D400:Q400">(D395*7+D396*7+D397*7+D398*7+D399*2)/30</f>
        <v>23.035623333333334</v>
      </c>
      <c r="E400" s="11">
        <f t="shared" si="49"/>
        <v>23.114646666666665</v>
      </c>
      <c r="F400" s="11">
        <f t="shared" si="49"/>
        <v>22.66866333333333</v>
      </c>
      <c r="G400" s="11"/>
      <c r="H400" s="11">
        <f t="shared" si="49"/>
        <v>22.92266</v>
      </c>
      <c r="I400" s="11">
        <f t="shared" si="49"/>
        <v>26.53630666666667</v>
      </c>
      <c r="J400" s="11">
        <f t="shared" si="49"/>
        <v>26.332853333333336</v>
      </c>
      <c r="K400" s="11"/>
      <c r="L400" s="11"/>
      <c r="M400" s="11">
        <f t="shared" si="49"/>
        <v>26.441423333333333</v>
      </c>
      <c r="N400" s="11">
        <f t="shared" si="49"/>
        <v>25.702963333333333</v>
      </c>
      <c r="O400" s="38">
        <f t="shared" si="49"/>
        <v>19.977766666666664</v>
      </c>
      <c r="P400" s="11"/>
      <c r="Q400" s="11">
        <f t="shared" si="49"/>
        <v>10.996000000000002</v>
      </c>
      <c r="R400" s="15"/>
      <c r="S400" s="8"/>
    </row>
    <row r="401" spans="1:19" s="12" customFormat="1" ht="16.5" customHeight="1" hidden="1">
      <c r="A401" s="3"/>
      <c r="B401" s="13" t="s">
        <v>253</v>
      </c>
      <c r="C401" s="7">
        <v>21.4065</v>
      </c>
      <c r="D401" s="7">
        <v>20.9814</v>
      </c>
      <c r="E401" s="7">
        <v>21.6708</v>
      </c>
      <c r="F401" s="7">
        <v>21.8402</v>
      </c>
      <c r="G401" s="7"/>
      <c r="H401" s="14">
        <v>21.4821</v>
      </c>
      <c r="I401" s="7">
        <v>23.6205</v>
      </c>
      <c r="J401" s="7">
        <v>23.183</v>
      </c>
      <c r="K401" s="7"/>
      <c r="L401" s="7"/>
      <c r="M401" s="7">
        <v>23.3007</v>
      </c>
      <c r="N401" s="7">
        <v>22.5999</v>
      </c>
      <c r="O401" s="8">
        <v>18.0777</v>
      </c>
      <c r="P401" s="7"/>
      <c r="Q401" s="7">
        <v>10.996</v>
      </c>
      <c r="R401" s="15"/>
      <c r="S401" s="8"/>
    </row>
    <row r="402" spans="1:19" s="12" customFormat="1" ht="16.5" customHeight="1" hidden="1">
      <c r="A402" s="3"/>
      <c r="B402" s="13" t="s">
        <v>32</v>
      </c>
      <c r="C402" s="7">
        <v>19.9678</v>
      </c>
      <c r="D402" s="7">
        <v>19.5397</v>
      </c>
      <c r="E402" s="7">
        <v>20.3775</v>
      </c>
      <c r="F402" s="7">
        <v>20.6916</v>
      </c>
      <c r="G402" s="7"/>
      <c r="H402" s="14">
        <v>20.1877</v>
      </c>
      <c r="I402" s="7">
        <v>21.2993</v>
      </c>
      <c r="J402" s="7">
        <v>20.4004</v>
      </c>
      <c r="K402" s="7"/>
      <c r="L402" s="7"/>
      <c r="M402" s="7">
        <v>20.5908</v>
      </c>
      <c r="N402" s="7">
        <v>19.762</v>
      </c>
      <c r="O402" s="8">
        <v>16.0784</v>
      </c>
      <c r="P402" s="7"/>
      <c r="Q402" s="7">
        <v>10.996</v>
      </c>
      <c r="R402" s="15"/>
      <c r="S402" s="8"/>
    </row>
    <row r="403" spans="1:19" s="12" customFormat="1" ht="16.5" customHeight="1" hidden="1">
      <c r="A403" s="3"/>
      <c r="B403" s="13" t="s">
        <v>33</v>
      </c>
      <c r="C403" s="7">
        <v>17.7713</v>
      </c>
      <c r="D403" s="7">
        <v>17.3462</v>
      </c>
      <c r="E403" s="7">
        <v>18.3996</v>
      </c>
      <c r="F403" s="7">
        <v>18.9329</v>
      </c>
      <c r="G403" s="7"/>
      <c r="H403" s="14">
        <v>18.2114</v>
      </c>
      <c r="I403" s="7">
        <v>19.4549</v>
      </c>
      <c r="J403" s="7">
        <v>18.128</v>
      </c>
      <c r="K403" s="7"/>
      <c r="L403" s="7"/>
      <c r="M403" s="7">
        <v>18.3589</v>
      </c>
      <c r="N403" s="7">
        <v>17.4634</v>
      </c>
      <c r="O403" s="8">
        <v>13.5865</v>
      </c>
      <c r="P403" s="7"/>
      <c r="Q403" s="7">
        <v>10.996</v>
      </c>
      <c r="R403" s="15"/>
      <c r="S403" s="8"/>
    </row>
    <row r="404" spans="1:19" s="12" customFormat="1" ht="16.5" customHeight="1" hidden="1">
      <c r="A404" s="3"/>
      <c r="B404" s="13" t="s">
        <v>34</v>
      </c>
      <c r="C404" s="7">
        <v>15.3313</v>
      </c>
      <c r="D404" s="7">
        <v>14.9033</v>
      </c>
      <c r="E404" s="7">
        <v>16.2053</v>
      </c>
      <c r="F404" s="7">
        <v>16.9834</v>
      </c>
      <c r="G404" s="7"/>
      <c r="H404" s="14">
        <v>16.0162</v>
      </c>
      <c r="I404" s="7">
        <v>18.3264</v>
      </c>
      <c r="J404" s="7">
        <v>17.4326</v>
      </c>
      <c r="K404" s="7"/>
      <c r="L404" s="7"/>
      <c r="M404" s="7">
        <v>17.6253</v>
      </c>
      <c r="N404" s="7">
        <v>16.7881</v>
      </c>
      <c r="O404" s="8">
        <v>12.0478</v>
      </c>
      <c r="P404" s="7"/>
      <c r="Q404" s="7">
        <v>10.996</v>
      </c>
      <c r="R404" s="15"/>
      <c r="S404" s="8"/>
    </row>
    <row r="405" spans="1:19" s="12" customFormat="1" ht="16.5" customHeight="1" hidden="1">
      <c r="A405" s="3"/>
      <c r="B405" s="13" t="s">
        <v>35</v>
      </c>
      <c r="C405" s="7">
        <v>14.3729</v>
      </c>
      <c r="D405" s="7">
        <v>13.9411</v>
      </c>
      <c r="E405" s="7">
        <v>15.3447</v>
      </c>
      <c r="F405" s="7">
        <v>16.2196</v>
      </c>
      <c r="G405" s="7"/>
      <c r="H405" s="14">
        <v>15.1541</v>
      </c>
      <c r="I405" s="7">
        <v>17.6283</v>
      </c>
      <c r="J405" s="7">
        <v>17.0939</v>
      </c>
      <c r="K405" s="7"/>
      <c r="L405" s="7"/>
      <c r="M405" s="7">
        <v>17.2509</v>
      </c>
      <c r="N405" s="7">
        <v>16.468</v>
      </c>
      <c r="O405" s="8">
        <v>10.8781</v>
      </c>
      <c r="P405" s="7"/>
      <c r="Q405" s="7">
        <v>10.996</v>
      </c>
      <c r="R405" s="15"/>
      <c r="S405" s="8"/>
    </row>
    <row r="406" spans="1:19" s="12" customFormat="1" ht="16.5" customHeight="1" hidden="1">
      <c r="A406" s="3"/>
      <c r="B406" s="4" t="s">
        <v>13</v>
      </c>
      <c r="C406" s="11">
        <f>(C401*5+C402*7+C403*7+C404*7+C405*5)/31</f>
        <v>17.754509677419353</v>
      </c>
      <c r="D406" s="11">
        <f aca="true" t="shared" si="50" ref="D406:Q406">(D401*5+D402*7+D403*7+D404*7+D405*5)/31</f>
        <v>17.326996774193546</v>
      </c>
      <c r="E406" s="11">
        <f t="shared" si="50"/>
        <v>18.385622580645165</v>
      </c>
      <c r="F406" s="11">
        <f t="shared" si="50"/>
        <v>18.921106451612903</v>
      </c>
      <c r="G406" s="11"/>
      <c r="H406" s="11">
        <f t="shared" si="50"/>
        <v>18.196390322580648</v>
      </c>
      <c r="I406" s="11">
        <f t="shared" si="50"/>
        <v>19.993812903225805</v>
      </c>
      <c r="J406" s="11">
        <f t="shared" si="50"/>
        <v>19.132629032258066</v>
      </c>
      <c r="K406" s="11"/>
      <c r="L406" s="11"/>
      <c r="M406" s="11">
        <f t="shared" si="50"/>
        <v>19.31558064516129</v>
      </c>
      <c r="N406" s="11">
        <f t="shared" si="50"/>
        <v>18.49787096774194</v>
      </c>
      <c r="O406" s="38">
        <f t="shared" si="50"/>
        <v>14.089287096774195</v>
      </c>
      <c r="P406" s="11"/>
      <c r="Q406" s="11">
        <f t="shared" si="50"/>
        <v>10.996</v>
      </c>
      <c r="R406" s="15"/>
      <c r="S406" s="8"/>
    </row>
    <row r="407" spans="1:19" s="12" customFormat="1" ht="16.5" customHeight="1" hidden="1">
      <c r="A407" s="3"/>
      <c r="B407" s="13" t="s">
        <v>40</v>
      </c>
      <c r="C407" s="7">
        <v>9.0121</v>
      </c>
      <c r="D407" s="7">
        <v>8.5724</v>
      </c>
      <c r="E407" s="7">
        <v>10.5244</v>
      </c>
      <c r="F407" s="7">
        <v>11.9377</v>
      </c>
      <c r="G407" s="7"/>
      <c r="H407" s="14">
        <v>10.3311</v>
      </c>
      <c r="I407" s="7">
        <v>13.877</v>
      </c>
      <c r="J407" s="7">
        <v>14.0257</v>
      </c>
      <c r="K407" s="7"/>
      <c r="L407" s="7"/>
      <c r="M407" s="7">
        <v>14.2545</v>
      </c>
      <c r="N407" s="7">
        <v>13.4192</v>
      </c>
      <c r="O407" s="8">
        <v>8.4313</v>
      </c>
      <c r="P407" s="7"/>
      <c r="Q407" s="7">
        <v>10.996</v>
      </c>
      <c r="R407" s="15"/>
      <c r="S407" s="8"/>
    </row>
    <row r="408" spans="1:19" s="12" customFormat="1" ht="16.5" customHeight="1" hidden="1">
      <c r="A408" s="3"/>
      <c r="B408" s="13" t="s">
        <v>42</v>
      </c>
      <c r="C408" s="7">
        <v>9.2799</v>
      </c>
      <c r="D408" s="7">
        <v>8.8447</v>
      </c>
      <c r="E408" s="7">
        <v>10.7632</v>
      </c>
      <c r="F408" s="7">
        <v>12.1485</v>
      </c>
      <c r="G408" s="7"/>
      <c r="H408" s="14">
        <v>10.5718</v>
      </c>
      <c r="I408" s="7">
        <v>13.4375</v>
      </c>
      <c r="J408" s="7">
        <v>13.5918</v>
      </c>
      <c r="K408" s="7"/>
      <c r="L408" s="7"/>
      <c r="M408" s="7">
        <v>13.8716</v>
      </c>
      <c r="N408" s="7">
        <v>12.9559</v>
      </c>
      <c r="O408" s="8">
        <v>8.6751</v>
      </c>
      <c r="P408" s="7"/>
      <c r="Q408" s="7">
        <v>10.996</v>
      </c>
      <c r="R408" s="15"/>
      <c r="S408" s="8"/>
    </row>
    <row r="409" spans="1:19" s="12" customFormat="1" ht="16.5" customHeight="1" hidden="1">
      <c r="A409" s="3"/>
      <c r="B409" s="13" t="s">
        <v>43</v>
      </c>
      <c r="C409" s="7">
        <v>10.3152</v>
      </c>
      <c r="D409" s="7">
        <v>9.8874</v>
      </c>
      <c r="E409" s="7">
        <v>11.6914</v>
      </c>
      <c r="F409" s="7">
        <v>12.9715</v>
      </c>
      <c r="G409" s="7"/>
      <c r="H409" s="14">
        <v>11.5031</v>
      </c>
      <c r="I409" s="7">
        <v>13.5088</v>
      </c>
      <c r="J409" s="7">
        <v>13.8855</v>
      </c>
      <c r="K409" s="7"/>
      <c r="L409" s="7"/>
      <c r="M409" s="7">
        <v>14.1498</v>
      </c>
      <c r="N409" s="7">
        <v>13.2683</v>
      </c>
      <c r="O409" s="8">
        <v>8.8234</v>
      </c>
      <c r="P409" s="7"/>
      <c r="Q409" s="7">
        <v>10.996</v>
      </c>
      <c r="R409" s="15"/>
      <c r="S409" s="8"/>
    </row>
    <row r="410" spans="1:19" s="12" customFormat="1" ht="16.5" customHeight="1" hidden="1">
      <c r="A410" s="3"/>
      <c r="B410" s="13" t="s">
        <v>44</v>
      </c>
      <c r="C410" s="7">
        <v>9.2428</v>
      </c>
      <c r="D410" s="7">
        <v>8.8135</v>
      </c>
      <c r="E410" s="7">
        <v>10.7271</v>
      </c>
      <c r="F410" s="7">
        <v>12.1148</v>
      </c>
      <c r="G410" s="7"/>
      <c r="H410" s="14">
        <v>10.5383</v>
      </c>
      <c r="I410" s="7">
        <v>12.6219</v>
      </c>
      <c r="J410" s="7">
        <v>13.0751</v>
      </c>
      <c r="K410" s="7"/>
      <c r="L410" s="7"/>
      <c r="M410" s="7">
        <v>13.3563</v>
      </c>
      <c r="N410" s="7">
        <v>12.4441</v>
      </c>
      <c r="O410" s="8">
        <v>7.9898</v>
      </c>
      <c r="P410" s="7"/>
      <c r="Q410" s="7">
        <v>10.996</v>
      </c>
      <c r="R410" s="15"/>
      <c r="S410" s="8"/>
    </row>
    <row r="411" spans="1:19" s="12" customFormat="1" ht="16.5" customHeight="1" hidden="1">
      <c r="A411" s="3"/>
      <c r="B411" s="13" t="s">
        <v>45</v>
      </c>
      <c r="C411" s="7">
        <v>9.0994</v>
      </c>
      <c r="D411" s="7">
        <v>8.6676</v>
      </c>
      <c r="E411" s="7">
        <v>10.5993</v>
      </c>
      <c r="F411" s="7">
        <v>12.0019</v>
      </c>
      <c r="G411" s="7"/>
      <c r="H411" s="14">
        <v>10.4094</v>
      </c>
      <c r="I411" s="7">
        <v>12.3662</v>
      </c>
      <c r="J411" s="7">
        <v>12.8344</v>
      </c>
      <c r="K411" s="7"/>
      <c r="L411" s="7"/>
      <c r="M411" s="7">
        <v>13.1287</v>
      </c>
      <c r="N411" s="7">
        <v>12.1915</v>
      </c>
      <c r="O411" s="8">
        <v>7.7643</v>
      </c>
      <c r="P411" s="7"/>
      <c r="Q411" s="7">
        <v>10.996</v>
      </c>
      <c r="R411" s="15"/>
      <c r="S411" s="8"/>
    </row>
    <row r="412" spans="1:19" s="12" customFormat="1" ht="16.5" customHeight="1" hidden="1">
      <c r="A412" s="3"/>
      <c r="B412" s="4" t="s">
        <v>13</v>
      </c>
      <c r="C412" s="11">
        <f>(C407*7+C408*7+C409*7+C410*7+C411*3)/31</f>
        <v>9.427361290322581</v>
      </c>
      <c r="D412" s="11">
        <f aca="true" t="shared" si="51" ref="D412:Q412">(D407*7+D408*7+D409*7+D410*7+D411*3)/31</f>
        <v>8.994477419354839</v>
      </c>
      <c r="E412" s="11">
        <f t="shared" si="51"/>
        <v>10.894858064516129</v>
      </c>
      <c r="F412" s="11">
        <f>(F407*7+F408*7+F409*7+F410*7+F411*3)/31</f>
        <v>12.264941935483872</v>
      </c>
      <c r="G412" s="11"/>
      <c r="H412" s="11">
        <f t="shared" si="51"/>
        <v>10.70446129032258</v>
      </c>
      <c r="I412" s="11">
        <f t="shared" si="51"/>
        <v>13.264999999999999</v>
      </c>
      <c r="J412" s="11">
        <f t="shared" si="51"/>
        <v>13.566125806451613</v>
      </c>
      <c r="K412" s="11"/>
      <c r="L412" s="11"/>
      <c r="M412" s="11">
        <f t="shared" si="51"/>
        <v>13.832629032258065</v>
      </c>
      <c r="N412" s="11">
        <f t="shared" si="51"/>
        <v>12.941516129032259</v>
      </c>
      <c r="O412" s="38">
        <f t="shared" si="51"/>
        <v>8.410648387096774</v>
      </c>
      <c r="P412" s="11"/>
      <c r="Q412" s="11">
        <f t="shared" si="51"/>
        <v>10.996</v>
      </c>
      <c r="R412" s="15"/>
      <c r="S412" s="8"/>
    </row>
    <row r="413" spans="1:19" s="12" customFormat="1" ht="16.5" customHeight="1" hidden="1">
      <c r="A413" s="20"/>
      <c r="B413" s="19">
        <v>2009</v>
      </c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8"/>
      <c r="P413" s="7"/>
      <c r="Q413" s="7"/>
      <c r="R413" s="15"/>
      <c r="S413" s="8"/>
    </row>
    <row r="414" spans="1:19" s="12" customFormat="1" ht="16.5" customHeight="1" hidden="1">
      <c r="A414" s="3"/>
      <c r="B414" s="13" t="s">
        <v>212</v>
      </c>
      <c r="C414" s="7">
        <v>10.1246</v>
      </c>
      <c r="D414" s="7">
        <v>9.6955</v>
      </c>
      <c r="E414" s="7">
        <v>11.0286</v>
      </c>
      <c r="F414" s="7">
        <v>11.8355</v>
      </c>
      <c r="G414" s="7"/>
      <c r="H414" s="14">
        <v>10.8407</v>
      </c>
      <c r="I414" s="7">
        <v>13.0932</v>
      </c>
      <c r="J414" s="7">
        <v>13.6093</v>
      </c>
      <c r="K414" s="7"/>
      <c r="L414" s="7"/>
      <c r="M414" s="7">
        <v>13.88</v>
      </c>
      <c r="N414" s="7">
        <v>13.0209</v>
      </c>
      <c r="O414" s="8">
        <v>8.345</v>
      </c>
      <c r="P414" s="7"/>
      <c r="Q414" s="7">
        <v>10.996</v>
      </c>
      <c r="R414" s="15"/>
      <c r="S414" s="8"/>
    </row>
    <row r="415" spans="1:19" s="12" customFormat="1" ht="16.5" customHeight="1" hidden="1">
      <c r="A415" s="3"/>
      <c r="B415" s="13" t="s">
        <v>46</v>
      </c>
      <c r="C415" s="7">
        <v>10.9631</v>
      </c>
      <c r="D415" s="7">
        <v>10.4307</v>
      </c>
      <c r="E415" s="7">
        <v>11.7832</v>
      </c>
      <c r="F415" s="7">
        <v>12.5063</v>
      </c>
      <c r="G415" s="7"/>
      <c r="H415" s="14">
        <v>11.5951</v>
      </c>
      <c r="I415" s="7">
        <v>14.3672</v>
      </c>
      <c r="J415" s="7">
        <v>14.5263</v>
      </c>
      <c r="K415" s="7"/>
      <c r="L415" s="7"/>
      <c r="M415" s="7">
        <v>14.7787</v>
      </c>
      <c r="N415" s="7">
        <v>13.951</v>
      </c>
      <c r="O415" s="8">
        <v>9.2798</v>
      </c>
      <c r="P415" s="7"/>
      <c r="Q415" s="7">
        <v>10.996</v>
      </c>
      <c r="R415" s="15"/>
      <c r="S415" s="8"/>
    </row>
    <row r="416" spans="1:19" s="12" customFormat="1" ht="16.5" customHeight="1" hidden="1">
      <c r="A416" s="3"/>
      <c r="B416" s="13" t="s">
        <v>47</v>
      </c>
      <c r="C416" s="7">
        <v>11.8299</v>
      </c>
      <c r="D416" s="7">
        <v>11.4004</v>
      </c>
      <c r="E416" s="7">
        <v>12.5632</v>
      </c>
      <c r="F416" s="7">
        <v>13.1996</v>
      </c>
      <c r="G416" s="7"/>
      <c r="H416" s="14">
        <v>12.375</v>
      </c>
      <c r="I416" s="7">
        <v>13.6185</v>
      </c>
      <c r="J416" s="7">
        <v>13.7564</v>
      </c>
      <c r="K416" s="7"/>
      <c r="L416" s="7"/>
      <c r="M416" s="7">
        <v>14.0828</v>
      </c>
      <c r="N416" s="7">
        <v>13.131</v>
      </c>
      <c r="O416" s="8">
        <v>9.2989</v>
      </c>
      <c r="P416" s="7"/>
      <c r="Q416" s="7">
        <v>10.996</v>
      </c>
      <c r="R416" s="15"/>
      <c r="S416" s="8"/>
    </row>
    <row r="417" spans="1:19" s="12" customFormat="1" ht="16.5" customHeight="1" hidden="1">
      <c r="A417" s="3"/>
      <c r="B417" s="13" t="s">
        <v>48</v>
      </c>
      <c r="C417" s="7">
        <v>12.7837</v>
      </c>
      <c r="D417" s="7">
        <v>12.3536</v>
      </c>
      <c r="E417" s="7">
        <v>13.4218</v>
      </c>
      <c r="F417" s="7">
        <v>13.9628</v>
      </c>
      <c r="G417" s="7"/>
      <c r="H417" s="14">
        <v>13.2331</v>
      </c>
      <c r="I417" s="7">
        <v>12.7369</v>
      </c>
      <c r="J417" s="7">
        <v>12.8111</v>
      </c>
      <c r="K417" s="7"/>
      <c r="L417" s="7"/>
      <c r="M417" s="7">
        <v>13.2295</v>
      </c>
      <c r="N417" s="7">
        <v>12.1233</v>
      </c>
      <c r="O417" s="8">
        <v>9.429</v>
      </c>
      <c r="P417" s="7"/>
      <c r="Q417" s="7">
        <v>10.996</v>
      </c>
      <c r="R417" s="15"/>
      <c r="S417" s="8"/>
    </row>
    <row r="418" spans="1:19" s="12" customFormat="1" ht="16.5" customHeight="1" hidden="1">
      <c r="A418" s="3"/>
      <c r="B418" s="13" t="s">
        <v>49</v>
      </c>
      <c r="C418" s="7">
        <v>12.9536</v>
      </c>
      <c r="D418" s="7">
        <v>12.5236</v>
      </c>
      <c r="E418" s="7">
        <v>13.5747</v>
      </c>
      <c r="F418" s="7">
        <v>14.0987</v>
      </c>
      <c r="G418" s="7"/>
      <c r="H418" s="14">
        <v>13.386</v>
      </c>
      <c r="I418" s="7">
        <v>12.9649</v>
      </c>
      <c r="J418" s="7">
        <v>12.7207</v>
      </c>
      <c r="K418" s="7"/>
      <c r="L418" s="7"/>
      <c r="M418" s="7">
        <v>13.167</v>
      </c>
      <c r="N418" s="7">
        <v>12.0142</v>
      </c>
      <c r="O418" s="8">
        <v>9.7722</v>
      </c>
      <c r="P418" s="7"/>
      <c r="Q418" s="7">
        <v>10.996</v>
      </c>
      <c r="R418" s="15"/>
      <c r="S418" s="8"/>
    </row>
    <row r="419" spans="1:19" s="12" customFormat="1" ht="16.5" customHeight="1" hidden="1">
      <c r="A419" s="3"/>
      <c r="B419" s="4" t="s">
        <v>13</v>
      </c>
      <c r="C419" s="11">
        <f>(C414*4+C415*7+C416*7+C417*7+C418*6)/31</f>
        <v>11.846996774193547</v>
      </c>
      <c r="D419" s="11">
        <f aca="true" t="shared" si="52" ref="D419:Q419">(D414*4+D415*7+D416*7+D417*7+D418*6)/31</f>
        <v>11.394080645161289</v>
      </c>
      <c r="E419" s="11">
        <f t="shared" si="52"/>
        <v>12.578709677419354</v>
      </c>
      <c r="F419" s="11">
        <f t="shared" si="52"/>
        <v>13.213390322580645</v>
      </c>
      <c r="G419" s="11"/>
      <c r="H419" s="11">
        <f t="shared" si="52"/>
        <v>12.390361290322582</v>
      </c>
      <c r="I419" s="11">
        <f t="shared" si="52"/>
        <v>13.394206451612902</v>
      </c>
      <c r="J419" s="11">
        <f t="shared" si="52"/>
        <v>13.497354838709677</v>
      </c>
      <c r="K419" s="11"/>
      <c r="L419" s="11"/>
      <c r="M419" s="11">
        <f t="shared" si="52"/>
        <v>13.843838709677419</v>
      </c>
      <c r="N419" s="11">
        <f t="shared" si="52"/>
        <v>12.858254838709678</v>
      </c>
      <c r="O419" s="38">
        <f t="shared" si="52"/>
        <v>9.292487096774193</v>
      </c>
      <c r="P419" s="11"/>
      <c r="Q419" s="11">
        <f t="shared" si="52"/>
        <v>10.996</v>
      </c>
      <c r="R419" s="15"/>
      <c r="S419" s="8"/>
    </row>
    <row r="420" spans="1:19" s="12" customFormat="1" ht="16.5" customHeight="1" hidden="1">
      <c r="A420" s="3"/>
      <c r="B420" s="13" t="s">
        <v>221</v>
      </c>
      <c r="C420" s="7">
        <v>13.2857</v>
      </c>
      <c r="D420" s="7">
        <v>12.8548</v>
      </c>
      <c r="E420" s="7">
        <v>13.8739</v>
      </c>
      <c r="F420" s="7">
        <v>14.3649</v>
      </c>
      <c r="G420" s="7">
        <v>16.5959</v>
      </c>
      <c r="H420" s="14">
        <v>13.6849</v>
      </c>
      <c r="I420" s="7">
        <v>13.0984</v>
      </c>
      <c r="J420" s="7">
        <v>12.5222</v>
      </c>
      <c r="K420" s="7"/>
      <c r="L420" s="7"/>
      <c r="M420" s="7">
        <v>12.9085</v>
      </c>
      <c r="N420" s="7">
        <v>11.8833</v>
      </c>
      <c r="O420" s="8">
        <v>9.6324</v>
      </c>
      <c r="P420" s="7"/>
      <c r="Q420" s="7">
        <v>10.996</v>
      </c>
      <c r="R420" s="15"/>
      <c r="S420" s="8"/>
    </row>
    <row r="421" spans="1:19" s="12" customFormat="1" ht="16.5" customHeight="1" hidden="1">
      <c r="A421" s="3"/>
      <c r="B421" s="13" t="s">
        <v>288</v>
      </c>
      <c r="C421" s="7">
        <v>13.278</v>
      </c>
      <c r="D421" s="7">
        <v>12.8474</v>
      </c>
      <c r="E421" s="7">
        <v>13.8668</v>
      </c>
      <c r="F421" s="7">
        <v>14.3585</v>
      </c>
      <c r="G421" s="7">
        <v>16.5947</v>
      </c>
      <c r="H421" s="14">
        <v>13.6779</v>
      </c>
      <c r="I421" s="7">
        <v>12.6318</v>
      </c>
      <c r="J421" s="7">
        <v>12.0584</v>
      </c>
      <c r="K421" s="7"/>
      <c r="L421" s="7"/>
      <c r="M421" s="7">
        <v>12.4463</v>
      </c>
      <c r="N421" s="7">
        <v>11.4182</v>
      </c>
      <c r="O421" s="8">
        <v>9.6555</v>
      </c>
      <c r="P421" s="7"/>
      <c r="Q421" s="7">
        <v>10.996</v>
      </c>
      <c r="R421" s="15"/>
      <c r="S421" s="8"/>
    </row>
    <row r="422" spans="1:19" s="12" customFormat="1" ht="16.5" customHeight="1" hidden="1">
      <c r="A422" s="3"/>
      <c r="B422" s="13" t="s">
        <v>289</v>
      </c>
      <c r="C422" s="7">
        <v>14.0715</v>
      </c>
      <c r="D422" s="7">
        <v>13.639</v>
      </c>
      <c r="E422" s="7">
        <v>14.5818</v>
      </c>
      <c r="F422" s="7">
        <v>14.9946</v>
      </c>
      <c r="G422" s="7">
        <v>16.7137</v>
      </c>
      <c r="H422" s="14">
        <v>14.3919</v>
      </c>
      <c r="I422" s="7">
        <v>12.2823</v>
      </c>
      <c r="J422" s="7">
        <v>11.9766</v>
      </c>
      <c r="K422" s="7"/>
      <c r="L422" s="7"/>
      <c r="M422" s="7">
        <v>12.3587</v>
      </c>
      <c r="N422" s="7">
        <v>11.3386</v>
      </c>
      <c r="O422" s="8">
        <v>9.7798</v>
      </c>
      <c r="P422" s="7"/>
      <c r="Q422" s="7">
        <v>10.996</v>
      </c>
      <c r="R422" s="15"/>
      <c r="S422" s="8"/>
    </row>
    <row r="423" spans="1:19" s="12" customFormat="1" ht="16.5" customHeight="1" hidden="1">
      <c r="A423" s="3"/>
      <c r="B423" s="13" t="s">
        <v>290</v>
      </c>
      <c r="C423" s="7">
        <v>13.113</v>
      </c>
      <c r="D423" s="7">
        <v>12.6763</v>
      </c>
      <c r="E423" s="7">
        <v>13.7212</v>
      </c>
      <c r="F423" s="7">
        <v>14.2309</v>
      </c>
      <c r="G423" s="7">
        <v>16.57</v>
      </c>
      <c r="H423" s="14">
        <v>13.5296</v>
      </c>
      <c r="I423" s="7">
        <v>11.5878</v>
      </c>
      <c r="J423" s="7">
        <v>11.4111</v>
      </c>
      <c r="K423" s="7"/>
      <c r="L423" s="7"/>
      <c r="M423" s="7">
        <v>11.8152</v>
      </c>
      <c r="N423" s="7">
        <v>10.754</v>
      </c>
      <c r="O423" s="8">
        <v>9.3739</v>
      </c>
      <c r="P423" s="7"/>
      <c r="Q423" s="7">
        <v>10.996</v>
      </c>
      <c r="R423" s="15"/>
      <c r="S423" s="8"/>
    </row>
    <row r="424" spans="1:19" s="12" customFormat="1" ht="16.5" customHeight="1" hidden="1">
      <c r="A424" s="3"/>
      <c r="B424" s="13" t="s">
        <v>291</v>
      </c>
      <c r="C424" s="7">
        <v>12.6109</v>
      </c>
      <c r="D424" s="7">
        <v>12.1694</v>
      </c>
      <c r="E424" s="7">
        <v>13.2716</v>
      </c>
      <c r="F424" s="7">
        <v>13.8326</v>
      </c>
      <c r="G424" s="7">
        <v>16.4946</v>
      </c>
      <c r="H424" s="14">
        <v>13.078</v>
      </c>
      <c r="I424" s="7">
        <v>11.6532</v>
      </c>
      <c r="J424" s="7">
        <v>11.6565</v>
      </c>
      <c r="K424" s="7"/>
      <c r="L424" s="7"/>
      <c r="M424" s="7">
        <v>12.0916</v>
      </c>
      <c r="N424" s="7">
        <v>10.9743</v>
      </c>
      <c r="O424" s="8">
        <v>9.2216</v>
      </c>
      <c r="P424" s="7"/>
      <c r="Q424" s="7">
        <v>10.996</v>
      </c>
      <c r="R424" s="15"/>
      <c r="S424" s="8"/>
    </row>
    <row r="425" spans="1:19" s="12" customFormat="1" ht="16.5" customHeight="1" hidden="1">
      <c r="A425" s="3"/>
      <c r="B425" s="4" t="s">
        <v>13</v>
      </c>
      <c r="C425" s="11">
        <f>(C420*1+C421*7+C422*7+C423*7+C424*6)/28</f>
        <v>13.292449999999999</v>
      </c>
      <c r="D425" s="11">
        <f aca="true" t="shared" si="53" ref="D425:Q425">(D420*1+D421*7+D422*7+D423*7+D424*6)/28</f>
        <v>12.85750357142857</v>
      </c>
      <c r="E425" s="11">
        <f t="shared" si="53"/>
        <v>13.881860714285713</v>
      </c>
      <c r="F425" s="11">
        <f t="shared" si="53"/>
        <v>14.373160714285714</v>
      </c>
      <c r="G425" s="11">
        <f>(G420*1+G421*7+G422*7+G423*7+G424*6)/28</f>
        <v>16.596867857142858</v>
      </c>
      <c r="H425" s="11">
        <f t="shared" si="53"/>
        <v>13.691025</v>
      </c>
      <c r="I425" s="11">
        <f t="shared" si="53"/>
        <v>12.090389285714284</v>
      </c>
      <c r="J425" s="11">
        <f t="shared" si="53"/>
        <v>11.806567857142856</v>
      </c>
      <c r="K425" s="11"/>
      <c r="L425" s="11"/>
      <c r="M425" s="11">
        <f t="shared" si="53"/>
        <v>12.207125000000001</v>
      </c>
      <c r="N425" s="11">
        <f t="shared" si="53"/>
        <v>11.153739285714286</v>
      </c>
      <c r="O425" s="38">
        <f t="shared" si="53"/>
        <v>9.522371428571429</v>
      </c>
      <c r="P425" s="11"/>
      <c r="Q425" s="11">
        <f t="shared" si="53"/>
        <v>10.996</v>
      </c>
      <c r="R425" s="15"/>
      <c r="S425" s="8"/>
    </row>
    <row r="426" spans="1:19" s="12" customFormat="1" ht="16.5" customHeight="1" hidden="1">
      <c r="A426" s="3"/>
      <c r="B426" s="13" t="s">
        <v>54</v>
      </c>
      <c r="C426" s="7">
        <v>12.3372</v>
      </c>
      <c r="D426" s="7">
        <v>11.8915</v>
      </c>
      <c r="E426" s="7">
        <v>13.0272</v>
      </c>
      <c r="F426" s="7">
        <v>13.6167</v>
      </c>
      <c r="G426" s="7">
        <v>16.4536</v>
      </c>
      <c r="H426" s="14">
        <v>12.8319</v>
      </c>
      <c r="I426" s="7">
        <v>11.6103</v>
      </c>
      <c r="J426" s="7">
        <v>11.7001</v>
      </c>
      <c r="K426" s="7"/>
      <c r="L426" s="7"/>
      <c r="M426" s="7">
        <v>12.1339</v>
      </c>
      <c r="N426" s="7">
        <v>11.0442</v>
      </c>
      <c r="O426" s="8">
        <v>9.1897</v>
      </c>
      <c r="P426" s="7"/>
      <c r="Q426" s="7">
        <v>10.996</v>
      </c>
      <c r="R426" s="15"/>
      <c r="S426" s="8"/>
    </row>
    <row r="427" spans="1:19" s="12" customFormat="1" ht="16.5" customHeight="1" hidden="1">
      <c r="A427" s="3"/>
      <c r="B427" s="13" t="s">
        <v>292</v>
      </c>
      <c r="C427" s="7">
        <v>12.0998</v>
      </c>
      <c r="D427" s="7">
        <v>11.655</v>
      </c>
      <c r="E427" s="7">
        <v>12.8132</v>
      </c>
      <c r="F427" s="7">
        <v>13.4262</v>
      </c>
      <c r="G427" s="7">
        <v>16.418</v>
      </c>
      <c r="H427" s="14">
        <v>12.6183</v>
      </c>
      <c r="I427" s="7">
        <v>11.3908</v>
      </c>
      <c r="J427" s="7">
        <v>11.704</v>
      </c>
      <c r="K427" s="7"/>
      <c r="L427" s="7"/>
      <c r="M427" s="7">
        <v>12.2451</v>
      </c>
      <c r="N427" s="7">
        <v>10.9772</v>
      </c>
      <c r="O427" s="8">
        <v>9.058</v>
      </c>
      <c r="P427" s="7"/>
      <c r="Q427" s="7">
        <v>10.996</v>
      </c>
      <c r="R427" s="15"/>
      <c r="S427" s="8"/>
    </row>
    <row r="428" spans="1:19" s="12" customFormat="1" ht="16.5" customHeight="1" hidden="1">
      <c r="A428" s="3"/>
      <c r="B428" s="13" t="s">
        <v>293</v>
      </c>
      <c r="C428" s="7">
        <v>11.6809</v>
      </c>
      <c r="D428" s="7">
        <v>11.2383</v>
      </c>
      <c r="E428" s="7">
        <v>12.4352</v>
      </c>
      <c r="F428" s="7">
        <v>13.0896</v>
      </c>
      <c r="G428" s="7">
        <v>16.3551</v>
      </c>
      <c r="H428" s="14">
        <v>12.2413</v>
      </c>
      <c r="I428" s="7">
        <v>11.3318</v>
      </c>
      <c r="J428" s="7">
        <v>11.704</v>
      </c>
      <c r="K428" s="7"/>
      <c r="L428" s="7"/>
      <c r="M428" s="7">
        <v>12.2473</v>
      </c>
      <c r="N428" s="7">
        <v>10.9775</v>
      </c>
      <c r="O428" s="8">
        <v>8.9244</v>
      </c>
      <c r="P428" s="7"/>
      <c r="Q428" s="7">
        <v>10.996</v>
      </c>
      <c r="R428" s="15"/>
      <c r="S428" s="8"/>
    </row>
    <row r="429" spans="1:19" s="12" customFormat="1" ht="16.5" customHeight="1" hidden="1">
      <c r="A429" s="3"/>
      <c r="B429" s="13" t="s">
        <v>294</v>
      </c>
      <c r="C429" s="7">
        <v>12.9462</v>
      </c>
      <c r="D429" s="7">
        <v>12.5078</v>
      </c>
      <c r="E429" s="7">
        <v>13.5719</v>
      </c>
      <c r="F429" s="7">
        <v>14.0987</v>
      </c>
      <c r="G429" s="7">
        <v>16.5449</v>
      </c>
      <c r="H429" s="14">
        <v>13.3796</v>
      </c>
      <c r="I429" s="7">
        <v>12.4886</v>
      </c>
      <c r="J429" s="7">
        <v>12.8037</v>
      </c>
      <c r="K429" s="7"/>
      <c r="L429" s="7"/>
      <c r="M429" s="7">
        <v>13.2175</v>
      </c>
      <c r="N429" s="7">
        <v>12.1685</v>
      </c>
      <c r="O429" s="8">
        <v>9.2206</v>
      </c>
      <c r="P429" s="7"/>
      <c r="Q429" s="7">
        <v>10.996</v>
      </c>
      <c r="R429" s="15"/>
      <c r="S429" s="8"/>
    </row>
    <row r="430" spans="1:19" s="12" customFormat="1" ht="16.5" customHeight="1" hidden="1">
      <c r="A430" s="3"/>
      <c r="B430" s="13" t="s">
        <v>295</v>
      </c>
      <c r="C430" s="7">
        <v>13.5778</v>
      </c>
      <c r="D430" s="7">
        <v>13.1419</v>
      </c>
      <c r="E430" s="7">
        <v>14.139</v>
      </c>
      <c r="F430" s="7">
        <v>14.602</v>
      </c>
      <c r="G430" s="7">
        <v>16.6397</v>
      </c>
      <c r="H430" s="14">
        <v>13.9478</v>
      </c>
      <c r="I430" s="7">
        <v>13.9607</v>
      </c>
      <c r="J430" s="7">
        <v>14.083</v>
      </c>
      <c r="K430" s="7"/>
      <c r="L430" s="7"/>
      <c r="M430" s="7">
        <v>14.3808</v>
      </c>
      <c r="N430" s="7">
        <v>13.5288</v>
      </c>
      <c r="O430" s="8">
        <v>9.739</v>
      </c>
      <c r="P430" s="7"/>
      <c r="Q430" s="7">
        <v>10.996</v>
      </c>
      <c r="R430" s="15"/>
      <c r="S430" s="8"/>
    </row>
    <row r="431" spans="1:19" s="12" customFormat="1" ht="16.5" customHeight="1" hidden="1">
      <c r="A431" s="3"/>
      <c r="B431" s="13" t="s">
        <v>296</v>
      </c>
      <c r="C431" s="7">
        <v>13.2551</v>
      </c>
      <c r="D431" s="7">
        <v>12.8176</v>
      </c>
      <c r="E431" s="7">
        <v>13.8494</v>
      </c>
      <c r="F431" s="7">
        <v>14.345</v>
      </c>
      <c r="G431" s="7">
        <v>16.5913</v>
      </c>
      <c r="H431" s="14">
        <v>13.6574</v>
      </c>
      <c r="I431" s="7">
        <v>13.4841</v>
      </c>
      <c r="J431" s="7">
        <v>13.6506</v>
      </c>
      <c r="K431" s="7"/>
      <c r="L431" s="7"/>
      <c r="M431" s="7">
        <v>13.9564</v>
      </c>
      <c r="N431" s="7">
        <v>13.0891</v>
      </c>
      <c r="O431" s="8">
        <v>9.7041</v>
      </c>
      <c r="P431" s="7"/>
      <c r="Q431" s="7">
        <v>10.996</v>
      </c>
      <c r="R431" s="15"/>
      <c r="S431" s="8"/>
    </row>
    <row r="432" spans="1:19" s="12" customFormat="1" ht="16.5" customHeight="1" hidden="1">
      <c r="A432" s="3"/>
      <c r="B432" s="4" t="s">
        <v>13</v>
      </c>
      <c r="C432" s="11">
        <f>(C426*1+C427*7+C428*7+C429*7+C430*7+C431*2)/31</f>
        <v>12.612267741935485</v>
      </c>
      <c r="D432" s="11">
        <f aca="true" t="shared" si="54" ref="D432:Q432">(D426*1+D427*7+D428*7+D429*7+D430*7+D431*2)/31</f>
        <v>12.17186129032258</v>
      </c>
      <c r="E432" s="11">
        <f t="shared" si="54"/>
        <v>13.272293548387099</v>
      </c>
      <c r="F432" s="11">
        <f t="shared" si="54"/>
        <v>13.832974193548388</v>
      </c>
      <c r="G432" s="11">
        <f t="shared" si="54"/>
        <v>16.494841935483873</v>
      </c>
      <c r="H432" s="11">
        <f t="shared" si="54"/>
        <v>13.079216129032257</v>
      </c>
      <c r="I432" s="11">
        <f t="shared" si="54"/>
        <v>12.347800000000001</v>
      </c>
      <c r="J432" s="11">
        <f t="shared" si="54"/>
        <v>12.614974193548388</v>
      </c>
      <c r="K432" s="11"/>
      <c r="L432" s="11"/>
      <c r="M432" s="11">
        <f t="shared" si="54"/>
        <v>13.054245161290321</v>
      </c>
      <c r="N432" s="11">
        <f t="shared" si="54"/>
        <v>11.960851612903227</v>
      </c>
      <c r="O432" s="38">
        <f t="shared" si="54"/>
        <v>9.264254838709677</v>
      </c>
      <c r="P432" s="11"/>
      <c r="Q432" s="11">
        <f t="shared" si="54"/>
        <v>10.996</v>
      </c>
      <c r="R432" s="15"/>
      <c r="S432" s="8"/>
    </row>
    <row r="433" spans="1:19" s="12" customFormat="1" ht="16.5" customHeight="1" hidden="1">
      <c r="A433" s="3"/>
      <c r="B433" s="13" t="s">
        <v>226</v>
      </c>
      <c r="C433" s="7">
        <v>13.6122</v>
      </c>
      <c r="D433" s="7">
        <v>13.1782</v>
      </c>
      <c r="E433" s="7">
        <v>14.1701</v>
      </c>
      <c r="F433" s="7">
        <v>14.6297</v>
      </c>
      <c r="G433" s="7">
        <v>16.6448</v>
      </c>
      <c r="H433" s="14">
        <v>13.9807</v>
      </c>
      <c r="I433" s="7">
        <v>13.5989</v>
      </c>
      <c r="J433" s="7">
        <v>13.7953</v>
      </c>
      <c r="K433" s="7"/>
      <c r="L433" s="7"/>
      <c r="M433" s="7">
        <v>14.0967</v>
      </c>
      <c r="N433" s="7">
        <v>13.2315</v>
      </c>
      <c r="O433" s="8">
        <v>10.2428</v>
      </c>
      <c r="P433" s="7"/>
      <c r="Q433" s="7">
        <v>10.996</v>
      </c>
      <c r="R433" s="15"/>
      <c r="S433" s="8"/>
    </row>
    <row r="434" spans="1:19" s="12" customFormat="1" ht="16.5" customHeight="1" hidden="1">
      <c r="A434" s="3"/>
      <c r="B434" s="13" t="s">
        <v>297</v>
      </c>
      <c r="C434" s="7">
        <v>14.2871</v>
      </c>
      <c r="D434" s="7">
        <v>13.8525</v>
      </c>
      <c r="E434" s="7">
        <v>14.7777</v>
      </c>
      <c r="F434" s="7">
        <v>15.1699</v>
      </c>
      <c r="G434" s="7">
        <v>16.7461</v>
      </c>
      <c r="H434" s="14">
        <v>14.588</v>
      </c>
      <c r="I434" s="7">
        <v>13.9024</v>
      </c>
      <c r="J434" s="7">
        <v>14.1053</v>
      </c>
      <c r="K434" s="7"/>
      <c r="L434" s="7"/>
      <c r="M434" s="7">
        <v>14.4152</v>
      </c>
      <c r="N434" s="7">
        <v>13.5356</v>
      </c>
      <c r="O434" s="8">
        <v>10.7226</v>
      </c>
      <c r="P434" s="7"/>
      <c r="Q434" s="7">
        <v>10.996</v>
      </c>
      <c r="R434" s="15"/>
      <c r="S434" s="8"/>
    </row>
    <row r="435" spans="1:19" s="12" customFormat="1" ht="16.5" customHeight="1" hidden="1">
      <c r="A435" s="3"/>
      <c r="B435" s="13" t="s">
        <v>298</v>
      </c>
      <c r="C435" s="7">
        <v>14.5425</v>
      </c>
      <c r="D435" s="7">
        <v>14.1078</v>
      </c>
      <c r="E435" s="7">
        <v>15.0075</v>
      </c>
      <c r="F435" s="7">
        <v>15.3742</v>
      </c>
      <c r="G435" s="7">
        <v>16.7844</v>
      </c>
      <c r="H435" s="14">
        <v>14.8177</v>
      </c>
      <c r="I435" s="7">
        <v>13.888</v>
      </c>
      <c r="J435" s="7">
        <v>14.1435</v>
      </c>
      <c r="K435" s="7"/>
      <c r="L435" s="7"/>
      <c r="M435" s="7">
        <v>14.4596</v>
      </c>
      <c r="N435" s="7">
        <v>13.5699</v>
      </c>
      <c r="O435" s="8">
        <v>10.9608</v>
      </c>
      <c r="P435" s="7"/>
      <c r="Q435" s="7">
        <v>10.996</v>
      </c>
      <c r="R435" s="15"/>
      <c r="S435" s="8"/>
    </row>
    <row r="436" spans="1:19" s="12" customFormat="1" ht="16.5" customHeight="1" hidden="1">
      <c r="A436" s="3"/>
      <c r="B436" s="13" t="s">
        <v>299</v>
      </c>
      <c r="C436" s="7">
        <v>13.6843</v>
      </c>
      <c r="D436" s="7">
        <v>13.249</v>
      </c>
      <c r="E436" s="7">
        <v>14.2357</v>
      </c>
      <c r="F436" s="7">
        <v>14.6884</v>
      </c>
      <c r="G436" s="7">
        <v>16.6557</v>
      </c>
      <c r="H436" s="14">
        <v>14.0457</v>
      </c>
      <c r="I436" s="7">
        <v>13.2034</v>
      </c>
      <c r="J436" s="7">
        <v>13.4587</v>
      </c>
      <c r="K436" s="7"/>
      <c r="L436" s="7"/>
      <c r="M436" s="7">
        <v>13.8249</v>
      </c>
      <c r="N436" s="7">
        <v>12.8501</v>
      </c>
      <c r="O436" s="8">
        <v>10.6456</v>
      </c>
      <c r="P436" s="7"/>
      <c r="Q436" s="7">
        <v>10.996</v>
      </c>
      <c r="R436" s="15"/>
      <c r="S436" s="8"/>
    </row>
    <row r="437" spans="1:19" s="12" customFormat="1" ht="16.5" customHeight="1" hidden="1">
      <c r="A437" s="3"/>
      <c r="B437" s="13" t="s">
        <v>300</v>
      </c>
      <c r="C437" s="7">
        <v>12.9148</v>
      </c>
      <c r="D437" s="7">
        <v>12.4809</v>
      </c>
      <c r="E437" s="7">
        <v>13.5426</v>
      </c>
      <c r="F437" s="7">
        <v>14.0719</v>
      </c>
      <c r="G437" s="7">
        <v>16.5402</v>
      </c>
      <c r="H437" s="14">
        <v>13.3533</v>
      </c>
      <c r="I437" s="7">
        <v>13.0711</v>
      </c>
      <c r="J437" s="7">
        <v>13.3927</v>
      </c>
      <c r="K437" s="7"/>
      <c r="L437" s="7"/>
      <c r="M437" s="7">
        <v>13.8338</v>
      </c>
      <c r="N437" s="7">
        <v>12.7353</v>
      </c>
      <c r="O437" s="8">
        <v>10.599</v>
      </c>
      <c r="P437" s="7"/>
      <c r="Q437" s="7">
        <v>10.996</v>
      </c>
      <c r="R437" s="15"/>
      <c r="S437" s="8"/>
    </row>
    <row r="438" spans="1:19" s="12" customFormat="1" ht="16.5" customHeight="1" hidden="1">
      <c r="A438" s="3"/>
      <c r="B438" s="4" t="s">
        <v>13</v>
      </c>
      <c r="C438" s="11">
        <f>(C433*5+C434*7+C435*7+C436*7+C437*4)/30</f>
        <v>13.910583333333333</v>
      </c>
      <c r="D438" s="11">
        <f aca="true" t="shared" si="55" ref="D438:Q438">(D433*5+D434*7+D435*7+D436*7+D437*4)/30</f>
        <v>13.47599</v>
      </c>
      <c r="E438" s="11">
        <f t="shared" si="55"/>
        <v>14.438906666666666</v>
      </c>
      <c r="F438" s="11">
        <f t="shared" si="55"/>
        <v>14.868786666666667</v>
      </c>
      <c r="G438" s="11">
        <f t="shared" si="55"/>
        <v>16.689606666666666</v>
      </c>
      <c r="H438" s="11">
        <f t="shared" si="55"/>
        <v>14.249216666666667</v>
      </c>
      <c r="I438" s="11">
        <f t="shared" si="55"/>
        <v>13.574516666666666</v>
      </c>
      <c r="J438" s="11">
        <f t="shared" si="55"/>
        <v>13.81666</v>
      </c>
      <c r="K438" s="11"/>
      <c r="L438" s="11"/>
      <c r="M438" s="11">
        <f t="shared" si="55"/>
        <v>14.157219999999999</v>
      </c>
      <c r="N438" s="11">
        <f t="shared" si="55"/>
        <v>13.226263333333332</v>
      </c>
      <c r="O438" s="38">
        <f t="shared" si="55"/>
        <v>10.663766666666668</v>
      </c>
      <c r="P438" s="11"/>
      <c r="Q438" s="11">
        <f t="shared" si="55"/>
        <v>10.996</v>
      </c>
      <c r="R438" s="15"/>
      <c r="S438" s="8"/>
    </row>
    <row r="439" spans="1:19" s="12" customFormat="1" ht="16.5" customHeight="1" hidden="1">
      <c r="A439" s="3"/>
      <c r="B439" s="13" t="s">
        <v>230</v>
      </c>
      <c r="C439" s="7">
        <v>13.4307</v>
      </c>
      <c r="D439" s="7">
        <v>12.9955</v>
      </c>
      <c r="E439" s="7">
        <v>14.1474</v>
      </c>
      <c r="F439" s="7">
        <v>14.7659</v>
      </c>
      <c r="G439" s="7">
        <v>17.8161</v>
      </c>
      <c r="H439" s="14">
        <v>13.9564</v>
      </c>
      <c r="I439" s="7">
        <v>13.3931</v>
      </c>
      <c r="J439" s="7">
        <v>13.8061</v>
      </c>
      <c r="K439" s="7"/>
      <c r="L439" s="7"/>
      <c r="M439" s="7">
        <v>14.2345</v>
      </c>
      <c r="N439" s="7">
        <v>13.1539</v>
      </c>
      <c r="O439" s="8">
        <v>11.0312</v>
      </c>
      <c r="P439" s="7"/>
      <c r="Q439" s="7">
        <v>10.996</v>
      </c>
      <c r="R439" s="15"/>
      <c r="S439" s="8"/>
    </row>
    <row r="440" spans="1:19" s="12" customFormat="1" ht="16.5" customHeight="1" hidden="1">
      <c r="A440" s="3"/>
      <c r="B440" s="13" t="s">
        <v>301</v>
      </c>
      <c r="C440" s="7">
        <v>14.6023</v>
      </c>
      <c r="D440" s="7">
        <v>14.1698</v>
      </c>
      <c r="E440" s="7">
        <v>15.2004</v>
      </c>
      <c r="F440" s="7">
        <v>15.701</v>
      </c>
      <c r="G440" s="7">
        <v>17.9918</v>
      </c>
      <c r="H440" s="14">
        <v>15.0104</v>
      </c>
      <c r="I440" s="7">
        <v>14.1021</v>
      </c>
      <c r="J440" s="7">
        <v>14.6419</v>
      </c>
      <c r="K440" s="7"/>
      <c r="L440" s="7"/>
      <c r="M440" s="7">
        <v>15.0447</v>
      </c>
      <c r="N440" s="7">
        <v>14.0102</v>
      </c>
      <c r="O440" s="8">
        <v>11.9317</v>
      </c>
      <c r="P440" s="7"/>
      <c r="Q440" s="7">
        <v>10.996</v>
      </c>
      <c r="R440" s="15"/>
      <c r="S440" s="8"/>
    </row>
    <row r="441" spans="1:19" s="12" customFormat="1" ht="16.5" customHeight="1" hidden="1">
      <c r="A441" s="3"/>
      <c r="B441" s="13" t="s">
        <v>302</v>
      </c>
      <c r="C441" s="7">
        <v>15.0555</v>
      </c>
      <c r="D441" s="7">
        <v>14.629</v>
      </c>
      <c r="E441" s="7">
        <v>15.6054</v>
      </c>
      <c r="F441" s="7">
        <v>16.0593</v>
      </c>
      <c r="G441" s="7">
        <v>18.0598</v>
      </c>
      <c r="H441" s="14">
        <v>15.418</v>
      </c>
      <c r="I441" s="7">
        <v>14.1403</v>
      </c>
      <c r="J441" s="7">
        <v>14.6789</v>
      </c>
      <c r="K441" s="7"/>
      <c r="L441" s="7"/>
      <c r="M441" s="7">
        <v>15.1265</v>
      </c>
      <c r="N441" s="7">
        <v>14.0227</v>
      </c>
      <c r="O441" s="8">
        <v>12.1321</v>
      </c>
      <c r="P441" s="7"/>
      <c r="Q441" s="7">
        <v>10.996</v>
      </c>
      <c r="R441" s="15"/>
      <c r="S441" s="8"/>
    </row>
    <row r="442" spans="1:19" s="12" customFormat="1" ht="16.5" customHeight="1" hidden="1">
      <c r="A442" s="3"/>
      <c r="B442" s="13" t="s">
        <v>303</v>
      </c>
      <c r="C442" s="7">
        <v>15.5965</v>
      </c>
      <c r="D442" s="7">
        <v>15.1717</v>
      </c>
      <c r="E442" s="7">
        <v>16.0914</v>
      </c>
      <c r="F442" s="7">
        <v>16.4908</v>
      </c>
      <c r="G442" s="7">
        <v>18.141</v>
      </c>
      <c r="H442" s="14">
        <v>15.9047</v>
      </c>
      <c r="I442" s="7">
        <v>14.3349</v>
      </c>
      <c r="J442" s="7">
        <v>14.8035</v>
      </c>
      <c r="K442" s="7"/>
      <c r="L442" s="7"/>
      <c r="M442" s="7">
        <v>15.2871</v>
      </c>
      <c r="N442" s="7">
        <v>14.1252</v>
      </c>
      <c r="O442" s="8">
        <v>12.3655</v>
      </c>
      <c r="P442" s="7"/>
      <c r="Q442" s="7">
        <v>10.996</v>
      </c>
      <c r="R442" s="15"/>
      <c r="S442" s="8"/>
    </row>
    <row r="443" spans="1:19" s="12" customFormat="1" ht="16.5" customHeight="1" hidden="1">
      <c r="A443" s="3"/>
      <c r="B443" s="13" t="s">
        <v>304</v>
      </c>
      <c r="C443" s="7">
        <v>16.1595</v>
      </c>
      <c r="D443" s="7">
        <v>15.7351</v>
      </c>
      <c r="E443" s="7">
        <v>16.5979</v>
      </c>
      <c r="F443" s="7">
        <v>16.9408</v>
      </c>
      <c r="G443" s="7">
        <v>18.2254</v>
      </c>
      <c r="H443" s="14">
        <v>16.4113</v>
      </c>
      <c r="I443" s="7">
        <v>14.9991</v>
      </c>
      <c r="J443" s="7">
        <v>15.5517</v>
      </c>
      <c r="K443" s="7"/>
      <c r="L443" s="7"/>
      <c r="M443" s="7">
        <v>16.0567</v>
      </c>
      <c r="N443" s="7">
        <v>14.8602</v>
      </c>
      <c r="O443" s="8">
        <v>12.8907</v>
      </c>
      <c r="P443" s="7"/>
      <c r="Q443" s="7">
        <v>10.996</v>
      </c>
      <c r="R443" s="15"/>
      <c r="S443" s="8"/>
    </row>
    <row r="444" spans="1:19" s="12" customFormat="1" ht="16.5" customHeight="1" hidden="1">
      <c r="A444" s="3"/>
      <c r="B444" s="4" t="s">
        <v>13</v>
      </c>
      <c r="C444" s="11">
        <f>(C439*3+C440*7+C441*7+C442*7+C443*7)/31</f>
        <v>15.16737741935484</v>
      </c>
      <c r="D444" s="11">
        <f aca="true" t="shared" si="56" ref="D444:Q444">(D439*3+D440*7+D441*7+D442*7+D443*7)/31</f>
        <v>14.739538709677417</v>
      </c>
      <c r="E444" s="11">
        <f t="shared" si="56"/>
        <v>15.706706451612904</v>
      </c>
      <c r="F444" s="11">
        <f t="shared" si="56"/>
        <v>16.149709677419352</v>
      </c>
      <c r="G444" s="11">
        <f t="shared" si="56"/>
        <v>18.076590322580646</v>
      </c>
      <c r="H444" s="11">
        <f t="shared" si="56"/>
        <v>15.518709677419354</v>
      </c>
      <c r="I444" s="11">
        <f t="shared" si="56"/>
        <v>14.297229032258064</v>
      </c>
      <c r="J444" s="11">
        <f t="shared" si="56"/>
        <v>14.811300000000001</v>
      </c>
      <c r="K444" s="11"/>
      <c r="L444" s="11"/>
      <c r="M444" s="11">
        <f t="shared" si="56"/>
        <v>15.268016129032258</v>
      </c>
      <c r="N444" s="11">
        <f t="shared" si="56"/>
        <v>14.148058064516128</v>
      </c>
      <c r="O444" s="38">
        <f t="shared" si="56"/>
        <v>12.204309677419356</v>
      </c>
      <c r="P444" s="11"/>
      <c r="Q444" s="11">
        <f t="shared" si="56"/>
        <v>10.995999999999999</v>
      </c>
      <c r="R444" s="15"/>
      <c r="S444" s="8"/>
    </row>
    <row r="445" spans="1:19" s="12" customFormat="1" ht="16.5" customHeight="1" hidden="1">
      <c r="A445" s="3"/>
      <c r="B445" s="13" t="s">
        <v>233</v>
      </c>
      <c r="C445" s="7">
        <v>16.8155</v>
      </c>
      <c r="D445" s="7">
        <v>16.3935</v>
      </c>
      <c r="E445" s="7">
        <v>17.3381</v>
      </c>
      <c r="F445" s="7">
        <v>17.7658</v>
      </c>
      <c r="G445" s="7">
        <v>19.6073</v>
      </c>
      <c r="H445" s="14">
        <v>17.1524</v>
      </c>
      <c r="I445" s="7">
        <v>16.1392</v>
      </c>
      <c r="J445" s="7">
        <v>16.8763</v>
      </c>
      <c r="K445" s="7"/>
      <c r="L445" s="7"/>
      <c r="M445" s="7">
        <v>17.3332</v>
      </c>
      <c r="N445" s="7">
        <v>16.2162</v>
      </c>
      <c r="O445" s="8">
        <v>13.6862</v>
      </c>
      <c r="P445" s="7"/>
      <c r="Q445" s="7">
        <v>10.996</v>
      </c>
      <c r="R445" s="15"/>
      <c r="S445" s="8"/>
    </row>
    <row r="446" spans="1:19" s="12" customFormat="1" ht="16.5" customHeight="1" hidden="1">
      <c r="A446" s="3"/>
      <c r="B446" s="13" t="s">
        <v>306</v>
      </c>
      <c r="C446" s="7">
        <v>17.1123</v>
      </c>
      <c r="D446" s="7">
        <v>16.69</v>
      </c>
      <c r="E446" s="7">
        <v>17.6052</v>
      </c>
      <c r="F446" s="7">
        <v>18.0032</v>
      </c>
      <c r="G446" s="7">
        <v>19.6518</v>
      </c>
      <c r="H446" s="14">
        <v>17.4194</v>
      </c>
      <c r="I446" s="7">
        <v>16.9455</v>
      </c>
      <c r="J446" s="7">
        <v>17.4064</v>
      </c>
      <c r="K446" s="7"/>
      <c r="L446" s="7"/>
      <c r="M446" s="7">
        <v>17.8158</v>
      </c>
      <c r="N446" s="7">
        <v>16.7783</v>
      </c>
      <c r="O446" s="8">
        <v>13.8071</v>
      </c>
      <c r="P446" s="7"/>
      <c r="Q446" s="7">
        <v>10.996</v>
      </c>
      <c r="R446" s="15"/>
      <c r="S446" s="8"/>
    </row>
    <row r="447" spans="1:19" s="12" customFormat="1" ht="16.5" customHeight="1" hidden="1">
      <c r="A447" s="3"/>
      <c r="B447" s="13" t="s">
        <v>307</v>
      </c>
      <c r="C447" s="7">
        <v>17.0743</v>
      </c>
      <c r="D447" s="7">
        <v>16.6522</v>
      </c>
      <c r="E447" s="7">
        <v>17.571</v>
      </c>
      <c r="F447" s="7">
        <v>17.9728</v>
      </c>
      <c r="G447" s="7">
        <v>19.6461</v>
      </c>
      <c r="H447" s="14">
        <v>17.3852</v>
      </c>
      <c r="I447" s="7">
        <v>17.2151</v>
      </c>
      <c r="J447" s="7">
        <v>17.4855</v>
      </c>
      <c r="K447" s="7"/>
      <c r="L447" s="7"/>
      <c r="M447" s="7">
        <v>17.8986</v>
      </c>
      <c r="N447" s="7">
        <v>16.8551</v>
      </c>
      <c r="O447" s="8">
        <v>13.866</v>
      </c>
      <c r="P447" s="7"/>
      <c r="Q447" s="7">
        <v>10.996</v>
      </c>
      <c r="R447" s="15"/>
      <c r="S447" s="8"/>
    </row>
    <row r="448" spans="1:19" s="12" customFormat="1" ht="16.5" customHeight="1" hidden="1">
      <c r="A448" s="3"/>
      <c r="B448" s="13" t="s">
        <v>308</v>
      </c>
      <c r="C448" s="7">
        <v>16.6487</v>
      </c>
      <c r="D448" s="7">
        <v>16.227</v>
      </c>
      <c r="E448" s="7">
        <v>17.1877</v>
      </c>
      <c r="F448" s="7">
        <v>17.632</v>
      </c>
      <c r="G448" s="7">
        <v>19.5823</v>
      </c>
      <c r="H448" s="14">
        <v>17.0022</v>
      </c>
      <c r="I448" s="7">
        <v>16.8067</v>
      </c>
      <c r="J448" s="7">
        <v>17.0506</v>
      </c>
      <c r="K448" s="7"/>
      <c r="L448" s="7"/>
      <c r="M448" s="7">
        <v>17.4702</v>
      </c>
      <c r="N448" s="7">
        <v>16.4157</v>
      </c>
      <c r="O448" s="8">
        <v>13.9191</v>
      </c>
      <c r="P448" s="7"/>
      <c r="Q448" s="7">
        <v>10.996</v>
      </c>
      <c r="R448" s="15"/>
      <c r="S448" s="8"/>
    </row>
    <row r="449" spans="1:19" s="12" customFormat="1" ht="16.5" customHeight="1" hidden="1">
      <c r="A449" s="3"/>
      <c r="B449" s="13" t="s">
        <v>309</v>
      </c>
      <c r="C449" s="7">
        <v>16.9201</v>
      </c>
      <c r="D449" s="7">
        <v>16.4992</v>
      </c>
      <c r="E449" s="7">
        <v>17.4316</v>
      </c>
      <c r="F449" s="7">
        <v>17.8485</v>
      </c>
      <c r="G449" s="7">
        <v>19.623</v>
      </c>
      <c r="H449" s="14">
        <v>17.2464</v>
      </c>
      <c r="I449" s="7">
        <v>16.8578</v>
      </c>
      <c r="J449" s="7">
        <v>17.1354</v>
      </c>
      <c r="K449" s="7"/>
      <c r="L449" s="7"/>
      <c r="M449" s="7">
        <v>17.524</v>
      </c>
      <c r="N449" s="7">
        <v>16.5221</v>
      </c>
      <c r="O449" s="8">
        <v>14.2012</v>
      </c>
      <c r="P449" s="7"/>
      <c r="Q449" s="7">
        <v>10.996</v>
      </c>
      <c r="R449" s="15"/>
      <c r="S449" s="8"/>
    </row>
    <row r="450" spans="1:19" s="12" customFormat="1" ht="16.5" customHeight="1" hidden="1">
      <c r="A450" s="3"/>
      <c r="B450" s="4" t="s">
        <v>13</v>
      </c>
      <c r="C450" s="11">
        <f>(C445*7+C446*7+C447*7+C448*7+C449*2)/30</f>
        <v>16.913193333333332</v>
      </c>
      <c r="D450" s="11">
        <f aca="true" t="shared" si="57" ref="D450:Q450">(D445*7+D446*7+D447*7+D448*7+D449*2)/30</f>
        <v>16.491243333333333</v>
      </c>
      <c r="E450" s="11">
        <f t="shared" si="57"/>
        <v>17.425906666666666</v>
      </c>
      <c r="F450" s="11">
        <f t="shared" si="57"/>
        <v>17.843786666666666</v>
      </c>
      <c r="G450" s="11">
        <f t="shared" si="57"/>
        <v>19.621950000000002</v>
      </c>
      <c r="H450" s="11">
        <f t="shared" si="57"/>
        <v>17.240240000000004</v>
      </c>
      <c r="I450" s="11">
        <f t="shared" si="57"/>
        <v>16.782036666666666</v>
      </c>
      <c r="J450" s="11">
        <f t="shared" si="57"/>
        <v>17.20008</v>
      </c>
      <c r="K450" s="11"/>
      <c r="L450" s="11"/>
      <c r="M450" s="11">
        <f t="shared" si="57"/>
        <v>17.622419999999998</v>
      </c>
      <c r="N450" s="11">
        <f t="shared" si="57"/>
        <v>16.563376666666667</v>
      </c>
      <c r="O450" s="38">
        <f t="shared" si="57"/>
        <v>13.845040000000001</v>
      </c>
      <c r="P450" s="11"/>
      <c r="Q450" s="11">
        <f t="shared" si="57"/>
        <v>10.996000000000002</v>
      </c>
      <c r="R450" s="15"/>
      <c r="S450" s="8"/>
    </row>
    <row r="451" spans="1:19" s="12" customFormat="1" ht="16.5" customHeight="1" hidden="1">
      <c r="A451" s="3"/>
      <c r="B451" s="13" t="s">
        <v>238</v>
      </c>
      <c r="C451" s="7">
        <v>16.6443</v>
      </c>
      <c r="D451" s="7">
        <v>16.2231</v>
      </c>
      <c r="E451" s="7">
        <v>17.2436</v>
      </c>
      <c r="F451" s="7">
        <v>17.7482</v>
      </c>
      <c r="G451" s="7">
        <v>20.0916</v>
      </c>
      <c r="H451" s="14">
        <v>17.0583</v>
      </c>
      <c r="I451" s="7">
        <v>16.5211</v>
      </c>
      <c r="J451" s="7">
        <v>16.8403</v>
      </c>
      <c r="K451" s="7"/>
      <c r="L451" s="7"/>
      <c r="M451" s="7">
        <v>17.238</v>
      </c>
      <c r="N451" s="7">
        <v>16.2118</v>
      </c>
      <c r="O451" s="8">
        <v>14.2123</v>
      </c>
      <c r="P451" s="7"/>
      <c r="Q451" s="7">
        <v>10.996</v>
      </c>
      <c r="R451" s="15"/>
      <c r="S451" s="8"/>
    </row>
    <row r="452" spans="1:19" s="12" customFormat="1" ht="16.5" customHeight="1" hidden="1">
      <c r="A452" s="3"/>
      <c r="B452" s="13" t="s">
        <v>310</v>
      </c>
      <c r="C452" s="7">
        <v>15.3885</v>
      </c>
      <c r="D452" s="7">
        <v>14.9676</v>
      </c>
      <c r="E452" s="7">
        <v>16.1135</v>
      </c>
      <c r="F452" s="7">
        <v>16.7437</v>
      </c>
      <c r="G452" s="7">
        <v>19.9033</v>
      </c>
      <c r="H452" s="14">
        <v>15.9284</v>
      </c>
      <c r="I452" s="7">
        <v>15.4261</v>
      </c>
      <c r="J452" s="7">
        <v>15.5903</v>
      </c>
      <c r="K452" s="7"/>
      <c r="L452" s="7"/>
      <c r="M452" s="7">
        <v>15.9959</v>
      </c>
      <c r="N452" s="7">
        <v>14.9553</v>
      </c>
      <c r="O452" s="8">
        <v>13.3641</v>
      </c>
      <c r="P452" s="7"/>
      <c r="Q452" s="7">
        <v>10.996</v>
      </c>
      <c r="R452" s="15"/>
      <c r="S452" s="8"/>
    </row>
    <row r="453" spans="1:19" s="12" customFormat="1" ht="16.5" customHeight="1" hidden="1">
      <c r="A453" s="3"/>
      <c r="B453" s="13" t="s">
        <v>311</v>
      </c>
      <c r="C453" s="7">
        <v>15.0471</v>
      </c>
      <c r="D453" s="7">
        <v>14.6265</v>
      </c>
      <c r="E453" s="7">
        <v>15.8061</v>
      </c>
      <c r="F453" s="7">
        <v>16.4704</v>
      </c>
      <c r="G453" s="7">
        <v>19.8521</v>
      </c>
      <c r="H453" s="14">
        <v>15.6213</v>
      </c>
      <c r="I453" s="7">
        <v>14.9989</v>
      </c>
      <c r="J453" s="7">
        <v>15.1675</v>
      </c>
      <c r="K453" s="7"/>
      <c r="L453" s="7"/>
      <c r="M453" s="7">
        <v>15.571</v>
      </c>
      <c r="N453" s="7">
        <v>14.5336</v>
      </c>
      <c r="O453" s="8">
        <v>13.4752</v>
      </c>
      <c r="P453" s="7"/>
      <c r="Q453" s="7">
        <v>10.996</v>
      </c>
      <c r="R453" s="15"/>
      <c r="S453" s="8"/>
    </row>
    <row r="454" spans="1:19" s="12" customFormat="1" ht="16.5" customHeight="1" hidden="1">
      <c r="A454" s="3"/>
      <c r="B454" s="13" t="s">
        <v>312</v>
      </c>
      <c r="C454" s="7">
        <v>16.1082</v>
      </c>
      <c r="D454" s="7">
        <v>15.6882</v>
      </c>
      <c r="E454" s="7">
        <v>16.7606</v>
      </c>
      <c r="F454" s="7">
        <v>17.3186</v>
      </c>
      <c r="G454" s="7">
        <v>20.0112</v>
      </c>
      <c r="H454" s="14">
        <v>16.5759</v>
      </c>
      <c r="I454" s="7">
        <v>16.0674</v>
      </c>
      <c r="J454" s="7">
        <v>16.1067</v>
      </c>
      <c r="K454" s="7"/>
      <c r="L454" s="7"/>
      <c r="M454" s="7">
        <v>16.4264</v>
      </c>
      <c r="N454" s="7">
        <v>15.5305</v>
      </c>
      <c r="O454" s="8">
        <v>14.0134</v>
      </c>
      <c r="P454" s="7"/>
      <c r="Q454" s="7">
        <v>10.996</v>
      </c>
      <c r="R454" s="15"/>
      <c r="S454" s="8"/>
    </row>
    <row r="455" spans="1:19" s="12" customFormat="1" ht="16.5" customHeight="1" hidden="1">
      <c r="A455" s="3"/>
      <c r="B455" s="13" t="s">
        <v>313</v>
      </c>
      <c r="C455" s="7">
        <v>16.7826</v>
      </c>
      <c r="D455" s="7">
        <v>16.3624</v>
      </c>
      <c r="E455" s="7">
        <v>17.3673</v>
      </c>
      <c r="F455" s="7">
        <v>17.8582</v>
      </c>
      <c r="G455" s="7">
        <v>20.1124</v>
      </c>
      <c r="H455" s="14">
        <v>17.1828</v>
      </c>
      <c r="I455" s="7">
        <v>16.6816</v>
      </c>
      <c r="J455" s="7">
        <v>16.8097</v>
      </c>
      <c r="K455" s="7"/>
      <c r="L455" s="7"/>
      <c r="M455" s="7">
        <v>17.087</v>
      </c>
      <c r="N455" s="7">
        <v>16.2624</v>
      </c>
      <c r="O455" s="8">
        <v>14.3787</v>
      </c>
      <c r="P455" s="7"/>
      <c r="Q455" s="7">
        <v>10.996</v>
      </c>
      <c r="R455" s="15"/>
      <c r="S455" s="8"/>
    </row>
    <row r="456" spans="1:19" s="12" customFormat="1" ht="16.5" customHeight="1" hidden="1">
      <c r="A456" s="3"/>
      <c r="B456" s="4" t="s">
        <v>13</v>
      </c>
      <c r="C456" s="11">
        <f>(C451*5+C452*7+C453*7+C454*7+C455*5)/31</f>
        <v>15.901325806451615</v>
      </c>
      <c r="D456" s="11">
        <f aca="true" t="shared" si="58" ref="D456:Q456">(D451*5+D452*7+D453*7+D454*7+D455*5)/31</f>
        <v>15.48076129032258</v>
      </c>
      <c r="E456" s="11">
        <f t="shared" si="58"/>
        <v>16.574706451612904</v>
      </c>
      <c r="F456" s="11">
        <f t="shared" si="58"/>
        <v>17.15357741935484</v>
      </c>
      <c r="G456" s="11">
        <f t="shared" si="58"/>
        <v>19.9802</v>
      </c>
      <c r="H456" s="11">
        <f t="shared" si="58"/>
        <v>16.389829032258064</v>
      </c>
      <c r="I456" s="11">
        <f t="shared" si="58"/>
        <v>15.85355806451613</v>
      </c>
      <c r="J456" s="11">
        <f t="shared" si="58"/>
        <v>16.009725806451613</v>
      </c>
      <c r="K456" s="11"/>
      <c r="L456" s="11"/>
      <c r="M456" s="11">
        <f t="shared" si="58"/>
        <v>16.373487096774195</v>
      </c>
      <c r="N456" s="11">
        <f t="shared" si="58"/>
        <v>15.403445161290325</v>
      </c>
      <c r="O456" s="38">
        <f t="shared" si="58"/>
        <v>13.836254838709678</v>
      </c>
      <c r="P456" s="11"/>
      <c r="Q456" s="11">
        <f t="shared" si="58"/>
        <v>10.996</v>
      </c>
      <c r="R456" s="15"/>
      <c r="S456" s="8"/>
    </row>
    <row r="457" spans="1:19" s="12" customFormat="1" ht="16.5" customHeight="1" hidden="1">
      <c r="A457" s="3"/>
      <c r="B457" s="13" t="s">
        <v>244</v>
      </c>
      <c r="C457" s="7">
        <v>17.2635</v>
      </c>
      <c r="D457" s="7">
        <v>16.3432</v>
      </c>
      <c r="E457" s="7">
        <v>17.8595</v>
      </c>
      <c r="F457" s="7">
        <v>18.361</v>
      </c>
      <c r="G457" s="7">
        <v>20.686</v>
      </c>
      <c r="H457" s="14">
        <v>17.2247</v>
      </c>
      <c r="I457" s="7">
        <v>16.1787</v>
      </c>
      <c r="J457" s="7">
        <v>16.4839</v>
      </c>
      <c r="K457" s="7"/>
      <c r="L457" s="7"/>
      <c r="M457" s="7">
        <v>16.7712</v>
      </c>
      <c r="N457" s="7">
        <v>15.9145</v>
      </c>
      <c r="O457" s="8">
        <v>14.0323</v>
      </c>
      <c r="P457" s="7"/>
      <c r="Q457" s="7">
        <v>10.996</v>
      </c>
      <c r="R457" s="15"/>
      <c r="S457" s="8"/>
    </row>
    <row r="458" spans="1:19" s="12" customFormat="1" ht="16.5" customHeight="1" hidden="1">
      <c r="A458" s="3"/>
      <c r="B458" s="13" t="s">
        <v>314</v>
      </c>
      <c r="C458" s="7">
        <v>18.5153</v>
      </c>
      <c r="D458" s="7">
        <v>17.5959</v>
      </c>
      <c r="E458" s="7">
        <v>18.986</v>
      </c>
      <c r="F458" s="7">
        <v>19.3621</v>
      </c>
      <c r="G458" s="7">
        <v>20.8738</v>
      </c>
      <c r="H458" s="14">
        <v>18.3516</v>
      </c>
      <c r="I458" s="7">
        <v>17.2237</v>
      </c>
      <c r="J458" s="7">
        <v>17.5373</v>
      </c>
      <c r="K458" s="7"/>
      <c r="L458" s="7"/>
      <c r="M458" s="7">
        <v>17.8074</v>
      </c>
      <c r="N458" s="7">
        <v>16.9809</v>
      </c>
      <c r="O458" s="8">
        <v>14.8977</v>
      </c>
      <c r="P458" s="7"/>
      <c r="Q458" s="7">
        <v>10.996</v>
      </c>
      <c r="R458" s="15"/>
      <c r="S458" s="8"/>
    </row>
    <row r="459" spans="1:19" s="12" customFormat="1" ht="16.5" customHeight="1" hidden="1">
      <c r="A459" s="3"/>
      <c r="B459" s="13" t="s">
        <v>315</v>
      </c>
      <c r="C459" s="7">
        <v>18.7374</v>
      </c>
      <c r="D459" s="7">
        <v>17.8165</v>
      </c>
      <c r="E459" s="7">
        <v>19.1861</v>
      </c>
      <c r="F459" s="7">
        <v>19.5403</v>
      </c>
      <c r="G459" s="7">
        <v>20.9071</v>
      </c>
      <c r="H459" s="14">
        <v>18.5507</v>
      </c>
      <c r="I459" s="7">
        <v>17.4214</v>
      </c>
      <c r="J459" s="7">
        <v>17.9023</v>
      </c>
      <c r="K459" s="7"/>
      <c r="L459" s="7"/>
      <c r="M459" s="7">
        <v>18.1679</v>
      </c>
      <c r="N459" s="7">
        <v>17.3486</v>
      </c>
      <c r="O459" s="8">
        <v>14.9494</v>
      </c>
      <c r="P459" s="7"/>
      <c r="Q459" s="7">
        <v>10.996</v>
      </c>
      <c r="R459" s="15"/>
      <c r="S459" s="8"/>
    </row>
    <row r="460" spans="1:19" s="12" customFormat="1" ht="16.5" customHeight="1" hidden="1">
      <c r="A460" s="3"/>
      <c r="B460" s="13" t="s">
        <v>316</v>
      </c>
      <c r="C460" s="7">
        <v>18.1543</v>
      </c>
      <c r="D460" s="7">
        <v>17.2335</v>
      </c>
      <c r="E460" s="7">
        <v>18.6613</v>
      </c>
      <c r="F460" s="7">
        <v>19.0738</v>
      </c>
      <c r="G460" s="7">
        <v>20.8196</v>
      </c>
      <c r="H460" s="14">
        <v>18.0261</v>
      </c>
      <c r="I460" s="7">
        <v>17.1334</v>
      </c>
      <c r="J460" s="7">
        <v>17.6575</v>
      </c>
      <c r="K460" s="7"/>
      <c r="L460" s="7"/>
      <c r="M460" s="7">
        <v>17.9698</v>
      </c>
      <c r="N460" s="7">
        <v>17.0725</v>
      </c>
      <c r="O460" s="8">
        <v>14.9197</v>
      </c>
      <c r="P460" s="7"/>
      <c r="Q460" s="7">
        <v>10.996</v>
      </c>
      <c r="R460" s="15"/>
      <c r="S460" s="8"/>
    </row>
    <row r="461" spans="1:19" s="12" customFormat="1" ht="16.5" customHeight="1" hidden="1">
      <c r="A461" s="3"/>
      <c r="B461" s="13" t="s">
        <v>317</v>
      </c>
      <c r="C461" s="7">
        <v>18.2989</v>
      </c>
      <c r="D461" s="7">
        <v>17.3784</v>
      </c>
      <c r="E461" s="7">
        <v>18.7913</v>
      </c>
      <c r="F461" s="7">
        <v>19.1893</v>
      </c>
      <c r="G461" s="7">
        <v>20.8413</v>
      </c>
      <c r="H461" s="14">
        <v>18.1563</v>
      </c>
      <c r="I461" s="7">
        <v>17.2073</v>
      </c>
      <c r="J461" s="7">
        <v>17.7145</v>
      </c>
      <c r="K461" s="7"/>
      <c r="L461" s="7"/>
      <c r="M461" s="7">
        <v>18.0504</v>
      </c>
      <c r="N461" s="7">
        <v>17.1138</v>
      </c>
      <c r="O461" s="8">
        <v>15.1513</v>
      </c>
      <c r="P461" s="7"/>
      <c r="Q461" s="7">
        <v>10.996</v>
      </c>
      <c r="R461" s="15"/>
      <c r="S461" s="8"/>
    </row>
    <row r="462" spans="1:19" s="12" customFormat="1" ht="16.5" customHeight="1" hidden="1">
      <c r="A462" s="3"/>
      <c r="B462" s="13" t="s">
        <v>318</v>
      </c>
      <c r="C462" s="7">
        <v>18.1588</v>
      </c>
      <c r="D462" s="7">
        <v>17.2384</v>
      </c>
      <c r="E462" s="7">
        <v>18.6653</v>
      </c>
      <c r="F462" s="7">
        <v>19.0772</v>
      </c>
      <c r="G462" s="7">
        <v>20.8203</v>
      </c>
      <c r="H462" s="14">
        <v>18.0303</v>
      </c>
      <c r="I462" s="7">
        <v>17.0334</v>
      </c>
      <c r="J462" s="7">
        <v>17.6212</v>
      </c>
      <c r="K462" s="7"/>
      <c r="L462" s="7"/>
      <c r="M462" s="7">
        <v>17.953</v>
      </c>
      <c r="N462" s="7">
        <v>17.0233</v>
      </c>
      <c r="O462" s="8">
        <v>15.2572</v>
      </c>
      <c r="P462" s="7"/>
      <c r="Q462" s="7">
        <v>10.996</v>
      </c>
      <c r="R462" s="15"/>
      <c r="S462" s="8"/>
    </row>
    <row r="463" spans="1:19" s="12" customFormat="1" ht="16.5" customHeight="1" hidden="1">
      <c r="A463" s="3"/>
      <c r="B463" s="4" t="s">
        <v>13</v>
      </c>
      <c r="C463" s="11">
        <f>(C457*2+C458*7+C459*7+C460*7+C461*7+C462*1)/31</f>
        <v>18.342809677419357</v>
      </c>
      <c r="D463" s="11">
        <f aca="true" t="shared" si="59" ref="D463:Q463">(D457*2+D458*7+D459*7+D460*7+D461*7+D462*1)/31</f>
        <v>17.422416129032257</v>
      </c>
      <c r="E463" s="11">
        <f t="shared" si="59"/>
        <v>18.830877419354838</v>
      </c>
      <c r="F463" s="11">
        <f t="shared" si="59"/>
        <v>19.22444193548387</v>
      </c>
      <c r="G463" s="11">
        <f t="shared" si="59"/>
        <v>20.8479</v>
      </c>
      <c r="H463" s="11">
        <f t="shared" si="59"/>
        <v>18.195890322580645</v>
      </c>
      <c r="I463" s="11">
        <f t="shared" si="59"/>
        <v>17.170690322580647</v>
      </c>
      <c r="J463" s="11">
        <f t="shared" si="59"/>
        <v>17.621619354838707</v>
      </c>
      <c r="K463" s="11"/>
      <c r="L463" s="11"/>
      <c r="M463" s="11">
        <f t="shared" si="59"/>
        <v>17.918190322580646</v>
      </c>
      <c r="N463" s="11">
        <f t="shared" si="59"/>
        <v>17.047190322580644</v>
      </c>
      <c r="O463" s="38">
        <f t="shared" si="59"/>
        <v>14.927370967741936</v>
      </c>
      <c r="P463" s="11"/>
      <c r="Q463" s="11">
        <f t="shared" si="59"/>
        <v>10.996</v>
      </c>
      <c r="R463" s="15"/>
      <c r="S463" s="8"/>
    </row>
    <row r="464" spans="1:19" s="12" customFormat="1" ht="16.5" customHeight="1" hidden="1">
      <c r="A464" s="3"/>
      <c r="B464" s="13" t="s">
        <v>27</v>
      </c>
      <c r="C464" s="7">
        <v>17.5555</v>
      </c>
      <c r="D464" s="7">
        <v>16.6346</v>
      </c>
      <c r="E464" s="7">
        <v>18.0144</v>
      </c>
      <c r="F464" s="7">
        <v>18.3788</v>
      </c>
      <c r="G464" s="7">
        <v>19.8118</v>
      </c>
      <c r="H464" s="14">
        <v>17.3792</v>
      </c>
      <c r="I464" s="7">
        <v>16.5845</v>
      </c>
      <c r="J464" s="7">
        <v>17.1198</v>
      </c>
      <c r="K464" s="7"/>
      <c r="L464" s="7"/>
      <c r="M464" s="7">
        <v>17.467</v>
      </c>
      <c r="N464" s="7">
        <v>16.5109</v>
      </c>
      <c r="O464" s="8">
        <v>14.7694</v>
      </c>
      <c r="P464" s="7"/>
      <c r="Q464" s="7">
        <v>11.3658</v>
      </c>
      <c r="R464" s="15"/>
      <c r="S464" s="8"/>
    </row>
    <row r="465" spans="1:19" s="12" customFormat="1" ht="16.5" customHeight="1" hidden="1">
      <c r="A465" s="3"/>
      <c r="B465" s="13" t="s">
        <v>319</v>
      </c>
      <c r="C465" s="7">
        <v>17.3843</v>
      </c>
      <c r="D465" s="7">
        <v>16.4644</v>
      </c>
      <c r="E465" s="7">
        <v>17.8601</v>
      </c>
      <c r="F465" s="7">
        <v>18.2415</v>
      </c>
      <c r="G465" s="7">
        <v>19.7861</v>
      </c>
      <c r="H465" s="14">
        <v>17.2256</v>
      </c>
      <c r="I465" s="7">
        <v>16.3506</v>
      </c>
      <c r="J465" s="7">
        <v>17.0393</v>
      </c>
      <c r="K465" s="7"/>
      <c r="L465" s="7"/>
      <c r="M465" s="7">
        <v>17.3932</v>
      </c>
      <c r="N465" s="7">
        <v>16.4262</v>
      </c>
      <c r="O465" s="8">
        <v>14.7011</v>
      </c>
      <c r="P465" s="7"/>
      <c r="Q465" s="7">
        <v>11.3658</v>
      </c>
      <c r="R465" s="15"/>
      <c r="S465" s="8"/>
    </row>
    <row r="466" spans="1:19" s="12" customFormat="1" ht="16.5" customHeight="1" hidden="1">
      <c r="A466" s="3"/>
      <c r="B466" s="13" t="s">
        <v>320</v>
      </c>
      <c r="C466" s="7">
        <v>17.274</v>
      </c>
      <c r="D466" s="7">
        <v>16.36</v>
      </c>
      <c r="E466" s="7">
        <v>17.7597</v>
      </c>
      <c r="F466" s="7">
        <v>18.1515</v>
      </c>
      <c r="G466" s="7">
        <v>19.7696</v>
      </c>
      <c r="H466" s="14">
        <v>17.1291</v>
      </c>
      <c r="I466" s="7">
        <v>16.3631</v>
      </c>
      <c r="J466" s="7">
        <v>16.8199</v>
      </c>
      <c r="K466" s="7"/>
      <c r="L466" s="7"/>
      <c r="M466" s="7">
        <v>17.1637</v>
      </c>
      <c r="N466" s="7">
        <v>16.2159</v>
      </c>
      <c r="O466" s="8">
        <v>14.6567</v>
      </c>
      <c r="P466" s="7"/>
      <c r="Q466" s="7">
        <v>11.3658</v>
      </c>
      <c r="R466" s="15"/>
      <c r="S466" s="8"/>
    </row>
    <row r="467" spans="1:19" s="12" customFormat="1" ht="16.5" customHeight="1" hidden="1">
      <c r="A467" s="3"/>
      <c r="B467" s="13" t="s">
        <v>321</v>
      </c>
      <c r="C467" s="7">
        <v>16.9183</v>
      </c>
      <c r="D467" s="7">
        <v>16.009</v>
      </c>
      <c r="E467" s="7">
        <v>17.4386</v>
      </c>
      <c r="F467" s="7">
        <v>17.8655</v>
      </c>
      <c r="G467" s="7">
        <v>19.7162</v>
      </c>
      <c r="H467" s="14">
        <v>16.8113</v>
      </c>
      <c r="I467" s="7">
        <v>16.3718</v>
      </c>
      <c r="J467" s="7">
        <v>16.6109</v>
      </c>
      <c r="K467" s="7"/>
      <c r="L467" s="7"/>
      <c r="M467" s="7">
        <v>16.9319</v>
      </c>
      <c r="N467" s="7">
        <v>16.0237</v>
      </c>
      <c r="O467" s="8">
        <v>14.4741</v>
      </c>
      <c r="P467" s="7"/>
      <c r="Q467" s="7">
        <v>11.3658</v>
      </c>
      <c r="R467" s="15"/>
      <c r="S467" s="8"/>
    </row>
    <row r="468" spans="1:19" s="12" customFormat="1" ht="16.5" customHeight="1" hidden="1">
      <c r="A468" s="3"/>
      <c r="B468" s="13" t="s">
        <v>322</v>
      </c>
      <c r="C468" s="7">
        <v>15.5147</v>
      </c>
      <c r="D468" s="7">
        <v>14.6068</v>
      </c>
      <c r="E468" s="7">
        <v>16.1751</v>
      </c>
      <c r="F468" s="7">
        <v>16.7422</v>
      </c>
      <c r="G468" s="7">
        <v>19.5057</v>
      </c>
      <c r="H468" s="14">
        <v>15.5489</v>
      </c>
      <c r="I468" s="7">
        <v>15.5624</v>
      </c>
      <c r="J468" s="7">
        <v>15.733</v>
      </c>
      <c r="K468" s="7"/>
      <c r="L468" s="7"/>
      <c r="M468" s="7">
        <v>16.0611</v>
      </c>
      <c r="N468" s="7">
        <v>15.1408</v>
      </c>
      <c r="O468" s="8">
        <v>13.9075</v>
      </c>
      <c r="P468" s="7"/>
      <c r="Q468" s="7">
        <v>11.3658</v>
      </c>
      <c r="R468" s="15"/>
      <c r="S468" s="8"/>
    </row>
    <row r="469" spans="1:19" s="12" customFormat="1" ht="16.5" customHeight="1" hidden="1">
      <c r="A469" s="3"/>
      <c r="B469" s="4" t="s">
        <v>13</v>
      </c>
      <c r="C469" s="11">
        <f>(C464*6+C465*7+C466*7+C467*7+C468*3)/30</f>
        <v>17.097109999999997</v>
      </c>
      <c r="D469" s="11">
        <f>(D464*6+D465*7+D466*7+D467*7+D468*3)/30</f>
        <v>16.18206</v>
      </c>
      <c r="E469" s="11">
        <f aca="true" t="shared" si="60" ref="E469:Q469">(E464*6+E465*7+E466*7+E467*7+E468*3)/30</f>
        <v>17.600683333333333</v>
      </c>
      <c r="F469" s="11">
        <f t="shared" si="60"/>
        <v>18.01029666666666</v>
      </c>
      <c r="G469" s="11">
        <f t="shared" si="60"/>
        <v>19.743040000000004</v>
      </c>
      <c r="H469" s="11">
        <f t="shared" si="60"/>
        <v>16.969463333333334</v>
      </c>
      <c r="I469" s="11">
        <f t="shared" si="60"/>
        <v>16.32642333333333</v>
      </c>
      <c r="J469" s="11">
        <f t="shared" si="60"/>
        <v>16.773616666666666</v>
      </c>
      <c r="K469" s="11"/>
      <c r="L469" s="11"/>
      <c r="M469" s="11">
        <f t="shared" si="60"/>
        <v>17.11356333333333</v>
      </c>
      <c r="N469" s="11">
        <f t="shared" si="60"/>
        <v>16.171613333333333</v>
      </c>
      <c r="O469" s="38">
        <f t="shared" si="60"/>
        <v>14.572073333333334</v>
      </c>
      <c r="P469" s="11"/>
      <c r="Q469" s="11">
        <f t="shared" si="60"/>
        <v>11.3658</v>
      </c>
      <c r="R469" s="15"/>
      <c r="S469" s="8"/>
    </row>
    <row r="470" spans="1:19" s="12" customFormat="1" ht="16.5" customHeight="1" hidden="1">
      <c r="A470" s="3"/>
      <c r="B470" s="13" t="s">
        <v>253</v>
      </c>
      <c r="C470" s="7">
        <v>16.1135</v>
      </c>
      <c r="D470" s="7">
        <v>15.1999</v>
      </c>
      <c r="E470" s="7">
        <v>16.7195</v>
      </c>
      <c r="F470" s="7">
        <v>17.2324</v>
      </c>
      <c r="G470" s="7">
        <v>19.6465</v>
      </c>
      <c r="H470" s="14">
        <v>16.0876</v>
      </c>
      <c r="I470" s="7">
        <v>15.8556</v>
      </c>
      <c r="J470" s="7">
        <v>16.1182</v>
      </c>
      <c r="K470" s="7"/>
      <c r="L470" s="7"/>
      <c r="M470" s="7">
        <v>16.4345</v>
      </c>
      <c r="N470" s="7">
        <v>15.5543</v>
      </c>
      <c r="O470" s="8">
        <v>14.0277</v>
      </c>
      <c r="P470" s="7"/>
      <c r="Q470" s="7">
        <v>11.3027</v>
      </c>
      <c r="R470" s="15"/>
      <c r="S470" s="8"/>
    </row>
    <row r="471" spans="1:19" s="12" customFormat="1" ht="16.5" customHeight="1" hidden="1">
      <c r="A471" s="3"/>
      <c r="B471" s="13" t="s">
        <v>323</v>
      </c>
      <c r="C471" s="7">
        <v>16.0478</v>
      </c>
      <c r="D471" s="7">
        <v>15.1373</v>
      </c>
      <c r="E471" s="7">
        <v>16.6597</v>
      </c>
      <c r="F471" s="7">
        <v>17.1788</v>
      </c>
      <c r="G471" s="7">
        <v>19.6367</v>
      </c>
      <c r="H471" s="14">
        <v>16.0299</v>
      </c>
      <c r="I471" s="7">
        <v>15.9795</v>
      </c>
      <c r="J471" s="7">
        <v>16.0738</v>
      </c>
      <c r="K471" s="7"/>
      <c r="L471" s="7"/>
      <c r="M471" s="7">
        <v>16.3918</v>
      </c>
      <c r="N471" s="7">
        <v>15.51</v>
      </c>
      <c r="O471" s="8">
        <v>14.1978</v>
      </c>
      <c r="P471" s="7"/>
      <c r="Q471" s="7">
        <v>11.3027</v>
      </c>
      <c r="R471" s="15"/>
      <c r="S471" s="8"/>
    </row>
    <row r="472" spans="1:19" s="12" customFormat="1" ht="16.5" customHeight="1" hidden="1">
      <c r="A472" s="3"/>
      <c r="B472" s="13" t="s">
        <v>324</v>
      </c>
      <c r="C472" s="7">
        <v>16.6888</v>
      </c>
      <c r="D472" s="7">
        <v>15.7772</v>
      </c>
      <c r="E472" s="7">
        <v>17.2368</v>
      </c>
      <c r="F472" s="7">
        <v>17.6919</v>
      </c>
      <c r="G472" s="7">
        <v>19.7328</v>
      </c>
      <c r="H472" s="14">
        <v>16.6062</v>
      </c>
      <c r="I472" s="7">
        <v>16.8792</v>
      </c>
      <c r="J472" s="7">
        <v>17.1116</v>
      </c>
      <c r="K472" s="7"/>
      <c r="L472" s="7"/>
      <c r="M472" s="7">
        <v>17.3574</v>
      </c>
      <c r="N472" s="7">
        <v>16.5965</v>
      </c>
      <c r="O472" s="8">
        <v>14.6019</v>
      </c>
      <c r="P472" s="7"/>
      <c r="Q472" s="7">
        <v>11.3027</v>
      </c>
      <c r="R472" s="15"/>
      <c r="S472" s="8"/>
    </row>
    <row r="473" spans="1:19" s="12" customFormat="1" ht="16.5" customHeight="1" hidden="1">
      <c r="A473" s="3"/>
      <c r="B473" s="13" t="s">
        <v>325</v>
      </c>
      <c r="C473" s="7">
        <v>17.8129</v>
      </c>
      <c r="D473" s="7">
        <v>16.9002</v>
      </c>
      <c r="E473" s="7">
        <v>18.2486</v>
      </c>
      <c r="F473" s="7">
        <v>18.5915</v>
      </c>
      <c r="G473" s="7">
        <v>19.9014</v>
      </c>
      <c r="H473" s="14">
        <v>17.6172</v>
      </c>
      <c r="I473" s="7">
        <v>17.9628</v>
      </c>
      <c r="J473" s="7">
        <v>18.2623</v>
      </c>
      <c r="K473" s="7"/>
      <c r="L473" s="7"/>
      <c r="M473" s="7">
        <v>18.448</v>
      </c>
      <c r="N473" s="7">
        <v>17.788</v>
      </c>
      <c r="O473" s="8">
        <v>15.3263</v>
      </c>
      <c r="P473" s="7"/>
      <c r="Q473" s="7">
        <v>11.3027</v>
      </c>
      <c r="R473" s="15"/>
      <c r="S473" s="8"/>
    </row>
    <row r="474" spans="1:19" s="12" customFormat="1" ht="16.5" customHeight="1" hidden="1">
      <c r="A474" s="3"/>
      <c r="B474" s="13" t="s">
        <v>326</v>
      </c>
      <c r="C474" s="7">
        <v>18.1414</v>
      </c>
      <c r="D474" s="7">
        <v>17.2282</v>
      </c>
      <c r="E474" s="7">
        <v>18.5444</v>
      </c>
      <c r="F474" s="7">
        <v>18.8544</v>
      </c>
      <c r="G474" s="7">
        <v>19.9507</v>
      </c>
      <c r="H474" s="14">
        <v>17.9126</v>
      </c>
      <c r="I474" s="7">
        <v>18.1595</v>
      </c>
      <c r="J474" s="7">
        <v>18.4522</v>
      </c>
      <c r="K474" s="7"/>
      <c r="L474" s="7"/>
      <c r="M474" s="7">
        <v>18.6613</v>
      </c>
      <c r="N474" s="7">
        <v>17.9624</v>
      </c>
      <c r="O474" s="8">
        <v>15.5328</v>
      </c>
      <c r="P474" s="7"/>
      <c r="Q474" s="7">
        <v>11.3027</v>
      </c>
      <c r="R474" s="15"/>
      <c r="S474" s="8"/>
    </row>
    <row r="475" spans="1:19" s="12" customFormat="1" ht="16.5" customHeight="1" hidden="1">
      <c r="A475" s="3"/>
      <c r="B475" s="4" t="s">
        <v>13</v>
      </c>
      <c r="C475" s="11">
        <f>(C470*4+C471*7+C472*7+C473*7+C474*6)/31</f>
        <v>17.004803225806448</v>
      </c>
      <c r="D475" s="11">
        <f aca="true" t="shared" si="61" ref="D475:Q475">(D470*4+D471*7+D472*7+D473*7+D474*6)/31</f>
        <v>16.092635483870968</v>
      </c>
      <c r="E475" s="11">
        <f t="shared" si="61"/>
        <v>17.5212935483871</v>
      </c>
      <c r="F475" s="11">
        <f t="shared" si="61"/>
        <v>17.94488387096774</v>
      </c>
      <c r="G475" s="11">
        <f>(G470*4+G471*7+G472*7+G473*7+G474*6)/31</f>
        <v>19.780209677419357</v>
      </c>
      <c r="H475" s="11">
        <f t="shared" si="61"/>
        <v>16.8902935483871</v>
      </c>
      <c r="I475" s="11">
        <f t="shared" si="61"/>
        <v>17.036448387096776</v>
      </c>
      <c r="J475" s="11">
        <f t="shared" si="61"/>
        <v>17.268383870967742</v>
      </c>
      <c r="K475" s="11"/>
      <c r="L475" s="11"/>
      <c r="M475" s="11">
        <f t="shared" si="61"/>
        <v>17.518909677419355</v>
      </c>
      <c r="N475" s="11">
        <f t="shared" si="61"/>
        <v>16.7501</v>
      </c>
      <c r="O475" s="38">
        <f t="shared" si="61"/>
        <v>14.780309677419355</v>
      </c>
      <c r="P475" s="11"/>
      <c r="Q475" s="11">
        <f t="shared" si="61"/>
        <v>11.3027</v>
      </c>
      <c r="R475" s="15"/>
      <c r="S475" s="8"/>
    </row>
    <row r="476" spans="1:19" s="12" customFormat="1" ht="16.5" customHeight="1" hidden="1">
      <c r="A476" s="3"/>
      <c r="B476" s="13" t="s">
        <v>89</v>
      </c>
      <c r="C476" s="7">
        <v>17.9696</v>
      </c>
      <c r="D476" s="7">
        <v>17.0562</v>
      </c>
      <c r="E476" s="7">
        <v>18.8598</v>
      </c>
      <c r="F476" s="7">
        <v>19.657</v>
      </c>
      <c r="G476" s="7">
        <v>23.9199</v>
      </c>
      <c r="H476" s="14">
        <v>18.2279</v>
      </c>
      <c r="I476" s="7">
        <v>18.006</v>
      </c>
      <c r="J476" s="7">
        <v>18.3877</v>
      </c>
      <c r="K476" s="7"/>
      <c r="L476" s="7"/>
      <c r="M476" s="7">
        <v>18.5987</v>
      </c>
      <c r="N476" s="7">
        <v>17.8756</v>
      </c>
      <c r="O476" s="8">
        <v>15.477</v>
      </c>
      <c r="P476" s="7"/>
      <c r="Q476" s="7">
        <v>11.1637</v>
      </c>
      <c r="R476" s="15"/>
      <c r="S476" s="8"/>
    </row>
    <row r="477" spans="1:19" s="12" customFormat="1" ht="16.5" customHeight="1" hidden="1">
      <c r="A477" s="3"/>
      <c r="B477" s="13" t="s">
        <v>327</v>
      </c>
      <c r="C477" s="7">
        <v>17.9243</v>
      </c>
      <c r="D477" s="7">
        <v>17.012</v>
      </c>
      <c r="E477" s="7">
        <v>18.8188</v>
      </c>
      <c r="F477" s="7">
        <v>19.6204</v>
      </c>
      <c r="G477" s="7">
        <v>23.9131</v>
      </c>
      <c r="H477" s="14">
        <v>18.1877</v>
      </c>
      <c r="I477" s="7">
        <v>18.142</v>
      </c>
      <c r="J477" s="7">
        <v>18.5038</v>
      </c>
      <c r="K477" s="7"/>
      <c r="L477" s="7"/>
      <c r="M477" s="7">
        <v>18.7425</v>
      </c>
      <c r="N477" s="7">
        <v>17.9738</v>
      </c>
      <c r="O477" s="8">
        <v>15.584</v>
      </c>
      <c r="P477" s="7"/>
      <c r="Q477" s="7">
        <v>11.1637</v>
      </c>
      <c r="R477" s="15"/>
      <c r="S477" s="8"/>
    </row>
    <row r="478" spans="1:19" s="12" customFormat="1" ht="16.5" customHeight="1" hidden="1">
      <c r="A478" s="3"/>
      <c r="B478" s="13" t="s">
        <v>328</v>
      </c>
      <c r="C478" s="7">
        <v>18.018</v>
      </c>
      <c r="D478" s="7">
        <v>17.1086</v>
      </c>
      <c r="E478" s="7">
        <v>18.9025</v>
      </c>
      <c r="F478" s="7">
        <v>19.6944</v>
      </c>
      <c r="G478" s="7">
        <v>23.9272</v>
      </c>
      <c r="H478" s="14">
        <v>18.2734</v>
      </c>
      <c r="I478" s="7">
        <v>18.2167</v>
      </c>
      <c r="J478" s="7">
        <v>18.3831</v>
      </c>
      <c r="K478" s="7"/>
      <c r="L478" s="7"/>
      <c r="M478" s="7">
        <v>18.6463</v>
      </c>
      <c r="N478" s="7">
        <v>17.8379</v>
      </c>
      <c r="O478" s="8">
        <v>15.7205</v>
      </c>
      <c r="P478" s="7"/>
      <c r="Q478" s="7">
        <v>11.1637</v>
      </c>
      <c r="R478" s="15"/>
      <c r="S478" s="8"/>
    </row>
    <row r="479" spans="1:19" s="12" customFormat="1" ht="16.5" customHeight="1" hidden="1">
      <c r="A479" s="3"/>
      <c r="B479" s="13" t="s">
        <v>329</v>
      </c>
      <c r="C479" s="7">
        <v>18.0834</v>
      </c>
      <c r="D479" s="7">
        <v>17.1767</v>
      </c>
      <c r="E479" s="7">
        <v>18.9608</v>
      </c>
      <c r="F479" s="7">
        <v>19.746</v>
      </c>
      <c r="G479" s="7">
        <v>23.937</v>
      </c>
      <c r="H479" s="14">
        <v>18.3335</v>
      </c>
      <c r="I479" s="7">
        <v>18.2601</v>
      </c>
      <c r="J479" s="7">
        <v>18.2932</v>
      </c>
      <c r="K479" s="7"/>
      <c r="L479" s="7"/>
      <c r="M479" s="7">
        <v>18.5579</v>
      </c>
      <c r="N479" s="7">
        <v>17.7479</v>
      </c>
      <c r="O479" s="8">
        <v>15.7083</v>
      </c>
      <c r="P479" s="7"/>
      <c r="Q479" s="7">
        <v>11.1637</v>
      </c>
      <c r="R479" s="15"/>
      <c r="S479" s="8"/>
    </row>
    <row r="480" spans="1:19" s="12" customFormat="1" ht="16.5" customHeight="1" hidden="1">
      <c r="A480" s="3"/>
      <c r="B480" s="13" t="s">
        <v>330</v>
      </c>
      <c r="C480" s="7">
        <v>17.8513</v>
      </c>
      <c r="D480" s="7">
        <v>16.9444</v>
      </c>
      <c r="E480" s="7">
        <v>18.752</v>
      </c>
      <c r="F480" s="7">
        <v>19.5603</v>
      </c>
      <c r="G480" s="7">
        <v>23.9022</v>
      </c>
      <c r="H480" s="14">
        <v>18.1245</v>
      </c>
      <c r="I480" s="7">
        <v>18.0596</v>
      </c>
      <c r="J480" s="7">
        <v>18.1261</v>
      </c>
      <c r="K480" s="7"/>
      <c r="L480" s="7"/>
      <c r="M480" s="7">
        <v>18.4091</v>
      </c>
      <c r="N480" s="7">
        <v>17.5684</v>
      </c>
      <c r="O480" s="8">
        <v>15.6931</v>
      </c>
      <c r="P480" s="7"/>
      <c r="Q480" s="7">
        <v>11.1637</v>
      </c>
      <c r="R480" s="15"/>
      <c r="S480" s="8"/>
    </row>
    <row r="481" spans="1:19" s="12" customFormat="1" ht="16.5" customHeight="1" hidden="1">
      <c r="A481" s="3"/>
      <c r="B481" s="13" t="s">
        <v>331</v>
      </c>
      <c r="C481" s="7">
        <v>17.811</v>
      </c>
      <c r="D481" s="7">
        <v>16.904</v>
      </c>
      <c r="E481" s="7">
        <v>18.7157</v>
      </c>
      <c r="F481" s="7">
        <v>19.5281</v>
      </c>
      <c r="G481" s="7">
        <v>23.8962</v>
      </c>
      <c r="H481" s="14">
        <v>18.0882</v>
      </c>
      <c r="I481" s="7">
        <v>17.9913</v>
      </c>
      <c r="J481" s="7">
        <v>18.1581</v>
      </c>
      <c r="K481" s="7"/>
      <c r="L481" s="7"/>
      <c r="M481" s="7">
        <v>18.4603</v>
      </c>
      <c r="N481" s="7">
        <v>17.5876</v>
      </c>
      <c r="O481" s="8">
        <v>15.8221</v>
      </c>
      <c r="P481" s="7"/>
      <c r="Q481" s="7">
        <v>11.1637</v>
      </c>
      <c r="R481" s="15"/>
      <c r="S481" s="8"/>
    </row>
    <row r="482" spans="1:19" s="12" customFormat="1" ht="16.5" customHeight="1" hidden="1">
      <c r="A482" s="3"/>
      <c r="B482" s="4" t="s">
        <v>13</v>
      </c>
      <c r="C482" s="11">
        <f>(C476*1+C477*7+C478*7+C479*7+C480*7+C481*1)/30</f>
        <v>17.963986666666667</v>
      </c>
      <c r="D482" s="11">
        <f aca="true" t="shared" si="62" ref="D482:Q482">(D476*1+D477*7+D478*7+D479*7+D480*7+D481*1)/30</f>
        <v>17.05507</v>
      </c>
      <c r="E482" s="11">
        <f t="shared" si="62"/>
        <v>18.853806666666667</v>
      </c>
      <c r="F482" s="11">
        <f t="shared" si="62"/>
        <v>19.651093333333332</v>
      </c>
      <c r="G482" s="11">
        <f t="shared" si="62"/>
        <v>23.91908666666667</v>
      </c>
      <c r="H482" s="11">
        <f t="shared" si="62"/>
        <v>18.224993333333334</v>
      </c>
      <c r="I482" s="11">
        <f t="shared" si="62"/>
        <v>18.158203333333333</v>
      </c>
      <c r="J482" s="11">
        <f t="shared" si="62"/>
        <v>18.32297333333333</v>
      </c>
      <c r="K482" s="11"/>
      <c r="L482" s="11"/>
      <c r="M482" s="11">
        <f>(M476*1+M477*7+M478*7+M479*7+M480*7+M481*1)/30</f>
        <v>18.584986666666666</v>
      </c>
      <c r="N482" s="11">
        <f t="shared" si="62"/>
        <v>17.77864</v>
      </c>
      <c r="O482" s="38">
        <f t="shared" si="62"/>
        <v>15.674679999999999</v>
      </c>
      <c r="P482" s="11"/>
      <c r="Q482" s="11">
        <f t="shared" si="62"/>
        <v>11.1637</v>
      </c>
      <c r="R482" s="15"/>
      <c r="S482" s="8"/>
    </row>
    <row r="483" spans="1:19" s="12" customFormat="1" ht="16.5" customHeight="1" hidden="1">
      <c r="A483" s="3"/>
      <c r="B483" s="13" t="s">
        <v>40</v>
      </c>
      <c r="C483" s="7">
        <v>18.1867</v>
      </c>
      <c r="D483" s="7">
        <v>17.2771</v>
      </c>
      <c r="E483" s="7">
        <v>19.0605</v>
      </c>
      <c r="F483" s="7">
        <v>19.8421</v>
      </c>
      <c r="G483" s="7">
        <v>24.012</v>
      </c>
      <c r="H483" s="14">
        <v>18.4304</v>
      </c>
      <c r="I483" s="7">
        <v>18.2209</v>
      </c>
      <c r="J483" s="7">
        <v>18.295</v>
      </c>
      <c r="K483" s="7"/>
      <c r="L483" s="7"/>
      <c r="M483" s="7">
        <v>18.593</v>
      </c>
      <c r="N483" s="7">
        <v>17.7281</v>
      </c>
      <c r="O483" s="8">
        <v>15.9327</v>
      </c>
      <c r="P483" s="7"/>
      <c r="Q483" s="7">
        <v>11.1212</v>
      </c>
      <c r="R483" s="15"/>
      <c r="S483" s="8"/>
    </row>
    <row r="484" spans="1:19" s="12" customFormat="1" ht="16.5" customHeight="1" hidden="1">
      <c r="A484" s="3"/>
      <c r="B484" s="13" t="s">
        <v>332</v>
      </c>
      <c r="C484" s="7">
        <v>17.6998</v>
      </c>
      <c r="D484" s="7">
        <v>16.7902</v>
      </c>
      <c r="E484" s="7">
        <v>18.6223</v>
      </c>
      <c r="F484" s="7">
        <v>19.4527</v>
      </c>
      <c r="G484" s="7">
        <v>23.939</v>
      </c>
      <c r="H484" s="14">
        <v>17.9922</v>
      </c>
      <c r="I484" s="7">
        <v>17.642</v>
      </c>
      <c r="J484" s="7">
        <v>17.8004</v>
      </c>
      <c r="K484" s="7"/>
      <c r="L484" s="7"/>
      <c r="M484" s="7">
        <v>18.1542</v>
      </c>
      <c r="N484" s="7">
        <v>17.1957</v>
      </c>
      <c r="O484" s="8">
        <v>15.5924</v>
      </c>
      <c r="P484" s="7"/>
      <c r="Q484" s="7">
        <v>11.1212</v>
      </c>
      <c r="R484" s="15"/>
      <c r="S484" s="8"/>
    </row>
    <row r="485" spans="1:19" s="12" customFormat="1" ht="16.5" customHeight="1" hidden="1">
      <c r="A485" s="3"/>
      <c r="B485" s="13" t="s">
        <v>333</v>
      </c>
      <c r="C485" s="7">
        <v>17.2934</v>
      </c>
      <c r="D485" s="7">
        <v>16.3831</v>
      </c>
      <c r="E485" s="7">
        <v>18.2567</v>
      </c>
      <c r="F485" s="7">
        <v>19.1278</v>
      </c>
      <c r="G485" s="7">
        <v>23.878</v>
      </c>
      <c r="H485" s="14">
        <v>17.6261</v>
      </c>
      <c r="I485" s="7">
        <v>17.1607</v>
      </c>
      <c r="J485" s="7">
        <v>17.1936</v>
      </c>
      <c r="K485" s="7"/>
      <c r="L485" s="7"/>
      <c r="M485" s="7">
        <v>17.5859</v>
      </c>
      <c r="N485" s="7">
        <v>16.5623</v>
      </c>
      <c r="O485" s="8">
        <v>15.2416</v>
      </c>
      <c r="P485" s="7"/>
      <c r="Q485" s="7">
        <v>11.1212</v>
      </c>
      <c r="R485" s="15"/>
      <c r="S485" s="8"/>
    </row>
    <row r="486" spans="1:19" s="12" customFormat="1" ht="16.5" customHeight="1" hidden="1">
      <c r="A486" s="3"/>
      <c r="B486" s="13" t="s">
        <v>334</v>
      </c>
      <c r="C486" s="7">
        <v>17.9841</v>
      </c>
      <c r="D486" s="7">
        <v>17.0703</v>
      </c>
      <c r="E486" s="7">
        <v>18.879</v>
      </c>
      <c r="F486" s="7">
        <v>19.6814</v>
      </c>
      <c r="G486" s="7">
        <v>23.9816</v>
      </c>
      <c r="H486" s="14">
        <v>18.246</v>
      </c>
      <c r="I486" s="7">
        <v>17.6495</v>
      </c>
      <c r="J486" s="7">
        <v>17.5807</v>
      </c>
      <c r="K486" s="7"/>
      <c r="L486" s="7"/>
      <c r="M486" s="7">
        <v>17.9783</v>
      </c>
      <c r="N486" s="7">
        <v>16.9449</v>
      </c>
      <c r="O486" s="8">
        <v>15.4386</v>
      </c>
      <c r="P486" s="7"/>
      <c r="Q486" s="7">
        <v>11.1212</v>
      </c>
      <c r="R486" s="15"/>
      <c r="S486" s="8"/>
    </row>
    <row r="487" spans="1:19" s="12" customFormat="1" ht="16.5" customHeight="1" hidden="1">
      <c r="A487" s="3"/>
      <c r="B487" s="13" t="s">
        <v>335</v>
      </c>
      <c r="C487" s="7">
        <v>18.6066</v>
      </c>
      <c r="D487" s="7">
        <v>17.6909</v>
      </c>
      <c r="E487" s="7">
        <v>19.4397</v>
      </c>
      <c r="F487" s="7">
        <v>20.18</v>
      </c>
      <c r="G487" s="7">
        <v>24.075</v>
      </c>
      <c r="H487" s="14">
        <v>18.8053</v>
      </c>
      <c r="I487" s="7">
        <v>18.2698</v>
      </c>
      <c r="J487" s="7">
        <v>18.1499</v>
      </c>
      <c r="K487" s="7"/>
      <c r="L487" s="7"/>
      <c r="M487" s="7">
        <v>18.5396</v>
      </c>
      <c r="N487" s="7">
        <v>17.5192</v>
      </c>
      <c r="O487" s="8">
        <v>15.7892</v>
      </c>
      <c r="P487" s="7"/>
      <c r="Q487" s="7">
        <v>11.1212</v>
      </c>
      <c r="R487" s="15"/>
      <c r="S487" s="8"/>
    </row>
    <row r="488" spans="1:19" s="12" customFormat="1" ht="16.5" customHeight="1" hidden="1">
      <c r="A488" s="3"/>
      <c r="B488" s="4" t="s">
        <v>13</v>
      </c>
      <c r="C488" s="11">
        <f>(C483*6+C484*7+C485*7+C486*7+C487*4)/31</f>
        <v>17.883474193548388</v>
      </c>
      <c r="D488" s="11">
        <f aca="true" t="shared" si="63" ref="D488:Q488">(D483*6+D484*7+D485*7+D486*7+D487*4)/31</f>
        <v>16.97198064516129</v>
      </c>
      <c r="E488" s="11">
        <f t="shared" si="63"/>
        <v>18.787993548387096</v>
      </c>
      <c r="F488" s="11">
        <f t="shared" si="63"/>
        <v>19.600190322580644</v>
      </c>
      <c r="G488" s="11">
        <f t="shared" si="63"/>
        <v>23.966522580645158</v>
      </c>
      <c r="H488" s="11">
        <f t="shared" si="63"/>
        <v>18.156570967741935</v>
      </c>
      <c r="I488" s="11">
        <f t="shared" si="63"/>
        <v>17.72806451612903</v>
      </c>
      <c r="J488" s="11">
        <f t="shared" si="63"/>
        <v>17.75459677419355</v>
      </c>
      <c r="K488" s="11"/>
      <c r="L488" s="11"/>
      <c r="M488" s="11">
        <f t="shared" si="63"/>
        <v>18.120812903225804</v>
      </c>
      <c r="N488" s="11">
        <f t="shared" si="63"/>
        <v>17.140829032258065</v>
      </c>
      <c r="O488" s="38">
        <f t="shared" si="63"/>
        <v>15.569716129032257</v>
      </c>
      <c r="P488" s="11"/>
      <c r="Q488" s="11">
        <f t="shared" si="63"/>
        <v>11.1212</v>
      </c>
      <c r="R488" s="15"/>
      <c r="S488" s="8"/>
    </row>
    <row r="489" spans="1:19" s="12" customFormat="1" ht="16.5" customHeight="1" hidden="1">
      <c r="A489" s="20"/>
      <c r="B489" s="19">
        <v>2010</v>
      </c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39"/>
      <c r="P489" s="14"/>
      <c r="S489" s="15"/>
    </row>
    <row r="490" spans="1:19" s="12" customFormat="1" ht="16.5" customHeight="1" hidden="1">
      <c r="A490" s="3"/>
      <c r="B490" s="13" t="s">
        <v>212</v>
      </c>
      <c r="C490" s="7">
        <v>18.9217</v>
      </c>
      <c r="D490" s="7">
        <v>18.0086</v>
      </c>
      <c r="E490" s="7">
        <v>19.6521</v>
      </c>
      <c r="F490" s="7">
        <v>20.2898</v>
      </c>
      <c r="G490" s="7">
        <v>23.5188</v>
      </c>
      <c r="H490" s="14">
        <v>19.02</v>
      </c>
      <c r="I490" s="7">
        <v>18.7163</v>
      </c>
      <c r="J490" s="7">
        <v>18.5588</v>
      </c>
      <c r="K490" s="7"/>
      <c r="L490" s="7"/>
      <c r="M490" s="7">
        <v>18.9359</v>
      </c>
      <c r="N490" s="7">
        <v>17.9349</v>
      </c>
      <c r="O490" s="8">
        <v>16.3661</v>
      </c>
      <c r="P490" s="7"/>
      <c r="Q490" s="7">
        <v>11.1047</v>
      </c>
      <c r="S490" s="8"/>
    </row>
    <row r="491" spans="1:19" s="12" customFormat="1" ht="16.5" customHeight="1" hidden="1">
      <c r="A491" s="3"/>
      <c r="B491" s="13" t="s">
        <v>336</v>
      </c>
      <c r="C491" s="7">
        <v>19.2187</v>
      </c>
      <c r="D491" s="7">
        <v>18.3107</v>
      </c>
      <c r="E491" s="7">
        <v>19.9183</v>
      </c>
      <c r="F491" s="7">
        <v>20.5258</v>
      </c>
      <c r="G491" s="7">
        <v>23.5633</v>
      </c>
      <c r="H491" s="14">
        <v>19.2896</v>
      </c>
      <c r="I491" s="7">
        <v>19.0571</v>
      </c>
      <c r="J491" s="7">
        <v>18.8942</v>
      </c>
      <c r="K491" s="7"/>
      <c r="L491" s="7"/>
      <c r="M491" s="7">
        <v>19.2679</v>
      </c>
      <c r="N491" s="7">
        <v>18.2753</v>
      </c>
      <c r="O491" s="8">
        <v>16.6157</v>
      </c>
      <c r="P491" s="7"/>
      <c r="Q491" s="7">
        <v>11.1047</v>
      </c>
      <c r="S491" s="8"/>
    </row>
    <row r="492" spans="1:19" s="12" customFormat="1" ht="16.5" customHeight="1" hidden="1">
      <c r="A492" s="3"/>
      <c r="B492" s="13" t="s">
        <v>337</v>
      </c>
      <c r="C492" s="7">
        <v>19.4474</v>
      </c>
      <c r="D492" s="7">
        <v>18.5447</v>
      </c>
      <c r="E492" s="7">
        <v>20.123</v>
      </c>
      <c r="F492" s="7">
        <v>20.707</v>
      </c>
      <c r="G492" s="7">
        <v>23.5976</v>
      </c>
      <c r="H492" s="14">
        <v>19.498</v>
      </c>
      <c r="I492" s="7">
        <v>18.6714</v>
      </c>
      <c r="J492" s="7">
        <v>18.7922</v>
      </c>
      <c r="K492" s="7"/>
      <c r="L492" s="7"/>
      <c r="M492" s="7">
        <v>19.1824</v>
      </c>
      <c r="N492" s="7">
        <v>18.1644</v>
      </c>
      <c r="O492" s="8">
        <v>16.4354</v>
      </c>
      <c r="P492" s="7"/>
      <c r="Q492" s="7">
        <v>11.1047</v>
      </c>
      <c r="S492" s="8"/>
    </row>
    <row r="493" spans="1:19" s="12" customFormat="1" ht="16.5" customHeight="1" hidden="1">
      <c r="A493" s="3"/>
      <c r="B493" s="13" t="s">
        <v>101</v>
      </c>
      <c r="C493" s="7">
        <v>19.019</v>
      </c>
      <c r="D493" s="7">
        <v>18.1169</v>
      </c>
      <c r="E493" s="7">
        <v>19.7374</v>
      </c>
      <c r="F493" s="7">
        <v>20.3642</v>
      </c>
      <c r="G493" s="7">
        <v>23.5334</v>
      </c>
      <c r="H493" s="14">
        <v>19.1128</v>
      </c>
      <c r="I493" s="7">
        <v>17.9509</v>
      </c>
      <c r="J493" s="7">
        <v>18.1563</v>
      </c>
      <c r="K493" s="7"/>
      <c r="L493" s="7"/>
      <c r="M493" s="7">
        <v>18.5804</v>
      </c>
      <c r="N493" s="7">
        <v>17.5056</v>
      </c>
      <c r="O493" s="8">
        <v>15.925</v>
      </c>
      <c r="P493" s="7"/>
      <c r="Q493" s="7">
        <v>11.1047</v>
      </c>
      <c r="S493" s="8"/>
    </row>
    <row r="494" spans="1:19" s="12" customFormat="1" ht="16.5" customHeight="1" hidden="1">
      <c r="A494" s="3"/>
      <c r="B494" s="13" t="s">
        <v>338</v>
      </c>
      <c r="C494" s="7">
        <v>18.7344</v>
      </c>
      <c r="D494" s="7">
        <v>17.8284</v>
      </c>
      <c r="E494" s="7">
        <v>19.482</v>
      </c>
      <c r="F494" s="7">
        <v>20.1377</v>
      </c>
      <c r="G494" s="7">
        <v>23.4907</v>
      </c>
      <c r="H494" s="14">
        <v>18.8548</v>
      </c>
      <c r="I494" s="7">
        <v>17.3675</v>
      </c>
      <c r="J494" s="7">
        <v>17.5673</v>
      </c>
      <c r="K494" s="7"/>
      <c r="L494" s="7"/>
      <c r="M494" s="7">
        <v>17.9916</v>
      </c>
      <c r="N494" s="7">
        <v>16.9141</v>
      </c>
      <c r="O494" s="8">
        <v>15.4447</v>
      </c>
      <c r="P494" s="7"/>
      <c r="Q494" s="7">
        <v>11.1047</v>
      </c>
      <c r="S494" s="8"/>
    </row>
    <row r="495" spans="1:19" s="12" customFormat="1" ht="16.5" customHeight="1" hidden="1">
      <c r="A495" s="3"/>
      <c r="B495" s="4" t="s">
        <v>13</v>
      </c>
      <c r="C495" s="11">
        <f>(C490*3+C491*7+C492*7+C493*7+C494*7)/31</f>
        <v>19.087148387096775</v>
      </c>
      <c r="D495" s="11">
        <f aca="true" t="shared" si="64" ref="D495:Q495">(D490*3+D491*7+D492*7+D493*7+D494*7)/31</f>
        <v>18.18163548387097</v>
      </c>
      <c r="E495" s="11">
        <f t="shared" si="64"/>
        <v>19.799393548387098</v>
      </c>
      <c r="F495" s="11">
        <f t="shared" si="64"/>
        <v>20.419751612903227</v>
      </c>
      <c r="G495" s="11">
        <f t="shared" si="64"/>
        <v>23.543593548387097</v>
      </c>
      <c r="H495" s="11">
        <f t="shared" si="64"/>
        <v>19.172464516129033</v>
      </c>
      <c r="I495" s="11">
        <f t="shared" si="64"/>
        <v>18.305716129032255</v>
      </c>
      <c r="J495" s="11">
        <f t="shared" si="64"/>
        <v>18.372464516129035</v>
      </c>
      <c r="K495" s="11"/>
      <c r="L495" s="11"/>
      <c r="M495" s="11">
        <f t="shared" si="64"/>
        <v>18.773025806451614</v>
      </c>
      <c r="N495" s="11">
        <f t="shared" si="64"/>
        <v>17.736145161290324</v>
      </c>
      <c r="O495" s="38">
        <f t="shared" si="64"/>
        <v>16.130448387096774</v>
      </c>
      <c r="P495" s="11"/>
      <c r="Q495" s="11">
        <f t="shared" si="64"/>
        <v>11.104699999999998</v>
      </c>
      <c r="S495" s="8"/>
    </row>
    <row r="496" spans="1:19" s="12" customFormat="1" ht="16.5" customHeight="1" hidden="1">
      <c r="A496" s="3"/>
      <c r="B496" s="13" t="s">
        <v>221</v>
      </c>
      <c r="C496" s="7">
        <v>18.6811</v>
      </c>
      <c r="D496" s="7">
        <v>18.2234</v>
      </c>
      <c r="E496" s="7">
        <v>19.1024</v>
      </c>
      <c r="F496" s="7">
        <v>19.4316</v>
      </c>
      <c r="G496" s="7">
        <v>20.6607</v>
      </c>
      <c r="H496" s="14">
        <v>18.879</v>
      </c>
      <c r="I496" s="7">
        <v>17.3759</v>
      </c>
      <c r="J496" s="7">
        <v>17.6889</v>
      </c>
      <c r="K496" s="7"/>
      <c r="L496" s="7"/>
      <c r="M496" s="7">
        <v>18.0514</v>
      </c>
      <c r="N496" s="7">
        <v>17.0764</v>
      </c>
      <c r="O496" s="8">
        <v>15.4147</v>
      </c>
      <c r="P496" s="7"/>
      <c r="Q496" s="7">
        <v>11.0394</v>
      </c>
      <c r="S496" s="8"/>
    </row>
    <row r="497" spans="1:19" s="12" customFormat="1" ht="16.5" customHeight="1" hidden="1">
      <c r="A497" s="3"/>
      <c r="B497" s="13" t="s">
        <v>339</v>
      </c>
      <c r="C497" s="7">
        <v>17.9947</v>
      </c>
      <c r="D497" s="7">
        <v>17.5369</v>
      </c>
      <c r="E497" s="7">
        <v>18.4848</v>
      </c>
      <c r="F497" s="7">
        <v>18.8827</v>
      </c>
      <c r="G497" s="7">
        <v>20.5577</v>
      </c>
      <c r="H497" s="14">
        <v>18.2614</v>
      </c>
      <c r="I497" s="7">
        <v>17.0043</v>
      </c>
      <c r="J497" s="7">
        <v>17.4921</v>
      </c>
      <c r="K497" s="7"/>
      <c r="L497" s="7"/>
      <c r="M497" s="7">
        <v>17.8529</v>
      </c>
      <c r="N497" s="7">
        <v>16.8802</v>
      </c>
      <c r="O497" s="8">
        <v>15.005</v>
      </c>
      <c r="P497" s="7"/>
      <c r="Q497" s="7">
        <v>11.0394</v>
      </c>
      <c r="S497" s="8"/>
    </row>
    <row r="498" spans="1:19" s="12" customFormat="1" ht="16.5" customHeight="1" hidden="1">
      <c r="A498" s="3"/>
      <c r="B498" s="13" t="s">
        <v>340</v>
      </c>
      <c r="C498" s="7">
        <v>18.311</v>
      </c>
      <c r="D498" s="7">
        <v>17.853</v>
      </c>
      <c r="E498" s="7">
        <v>18.7695</v>
      </c>
      <c r="F498" s="7">
        <v>19.1359</v>
      </c>
      <c r="G498" s="7">
        <v>20.6052</v>
      </c>
      <c r="H498" s="14">
        <v>18.546</v>
      </c>
      <c r="I498" s="7">
        <v>17.5142</v>
      </c>
      <c r="J498" s="7">
        <v>17.9606</v>
      </c>
      <c r="K498" s="7"/>
      <c r="L498" s="7"/>
      <c r="M498" s="7">
        <v>18.3019</v>
      </c>
      <c r="N498" s="7">
        <v>17.3621</v>
      </c>
      <c r="O498" s="8">
        <v>15.4111</v>
      </c>
      <c r="P498" s="7"/>
      <c r="Q498" s="7">
        <v>11.0394</v>
      </c>
      <c r="S498" s="8"/>
    </row>
    <row r="499" spans="1:19" s="12" customFormat="1" ht="16.5" customHeight="1" hidden="1">
      <c r="A499" s="3"/>
      <c r="B499" s="13" t="s">
        <v>341</v>
      </c>
      <c r="C499" s="7">
        <v>18.945</v>
      </c>
      <c r="D499" s="7">
        <v>18.488</v>
      </c>
      <c r="E499" s="7">
        <v>19.3396</v>
      </c>
      <c r="F499" s="7">
        <v>19.6423</v>
      </c>
      <c r="G499" s="7">
        <v>20.7002</v>
      </c>
      <c r="H499" s="14">
        <v>19.1165</v>
      </c>
      <c r="I499" s="7">
        <v>18.0496</v>
      </c>
      <c r="J499" s="7">
        <v>18.4839</v>
      </c>
      <c r="K499" s="7"/>
      <c r="L499" s="7"/>
      <c r="M499" s="7">
        <v>18.8419</v>
      </c>
      <c r="N499" s="7">
        <v>17.8757</v>
      </c>
      <c r="O499" s="8">
        <v>15.6698</v>
      </c>
      <c r="P499" s="7"/>
      <c r="Q499" s="7">
        <v>11.0394</v>
      </c>
      <c r="S499" s="8"/>
    </row>
    <row r="500" spans="1:19" s="12" customFormat="1" ht="16.5" customHeight="1" hidden="1">
      <c r="A500" s="3"/>
      <c r="B500" s="4" t="s">
        <v>13</v>
      </c>
      <c r="C500" s="11">
        <f>(C496*7+C497*7+C498*7+C499*7)/28</f>
        <v>18.48295</v>
      </c>
      <c r="D500" s="11">
        <f aca="true" t="shared" si="65" ref="D500:Q500">(D496*7+D497*7+D498*7+D499*7)/28</f>
        <v>18.025325</v>
      </c>
      <c r="E500" s="11">
        <f t="shared" si="65"/>
        <v>18.924075</v>
      </c>
      <c r="F500" s="11">
        <f t="shared" si="65"/>
        <v>19.273125</v>
      </c>
      <c r="G500" s="11">
        <f t="shared" si="65"/>
        <v>20.630950000000002</v>
      </c>
      <c r="H500" s="11">
        <f t="shared" si="65"/>
        <v>18.700725000000002</v>
      </c>
      <c r="I500" s="11">
        <f t="shared" si="65"/>
        <v>17.486</v>
      </c>
      <c r="J500" s="11">
        <f t="shared" si="65"/>
        <v>17.906375</v>
      </c>
      <c r="K500" s="11"/>
      <c r="L500" s="11"/>
      <c r="M500" s="11">
        <f t="shared" si="65"/>
        <v>18.262024999999998</v>
      </c>
      <c r="N500" s="11">
        <f t="shared" si="65"/>
        <v>17.2986</v>
      </c>
      <c r="O500" s="38">
        <f t="shared" si="65"/>
        <v>15.375150000000001</v>
      </c>
      <c r="P500" s="11"/>
      <c r="Q500" s="11">
        <f t="shared" si="65"/>
        <v>11.0394</v>
      </c>
      <c r="S500" s="8"/>
    </row>
    <row r="501" spans="1:19" s="12" customFormat="1" ht="16.5" customHeight="1" hidden="1">
      <c r="A501" s="3"/>
      <c r="B501" s="13" t="s">
        <v>54</v>
      </c>
      <c r="C501" s="7">
        <v>18.9179</v>
      </c>
      <c r="D501" s="7">
        <v>18.4663</v>
      </c>
      <c r="E501" s="7">
        <v>19.2281</v>
      </c>
      <c r="F501" s="7">
        <v>19.4473</v>
      </c>
      <c r="G501" s="7">
        <v>19.9737</v>
      </c>
      <c r="H501" s="14">
        <v>19.0075</v>
      </c>
      <c r="I501" s="7">
        <v>17.9432</v>
      </c>
      <c r="J501" s="7">
        <v>18.4362</v>
      </c>
      <c r="K501" s="7"/>
      <c r="L501" s="7"/>
      <c r="M501" s="7">
        <v>18.7844</v>
      </c>
      <c r="N501" s="7">
        <v>17.7985</v>
      </c>
      <c r="O501" s="8">
        <v>15.4284</v>
      </c>
      <c r="P501" s="7"/>
      <c r="Q501" s="7">
        <v>11.0763</v>
      </c>
      <c r="S501" s="8"/>
    </row>
    <row r="502" spans="1:19" s="12" customFormat="1" ht="16.5" customHeight="1" hidden="1">
      <c r="A502" s="3"/>
      <c r="B502" s="13" t="s">
        <v>55</v>
      </c>
      <c r="C502" s="7">
        <v>19.3905</v>
      </c>
      <c r="D502" s="7">
        <v>18.939</v>
      </c>
      <c r="E502" s="7">
        <v>19.6532</v>
      </c>
      <c r="F502" s="7">
        <v>19.8251</v>
      </c>
      <c r="G502" s="7">
        <v>20.0446</v>
      </c>
      <c r="H502" s="14">
        <v>19.4327</v>
      </c>
      <c r="I502" s="7">
        <v>18.3491</v>
      </c>
      <c r="J502" s="7">
        <v>18.848</v>
      </c>
      <c r="K502" s="7"/>
      <c r="L502" s="7"/>
      <c r="M502" s="7">
        <v>19.2642</v>
      </c>
      <c r="N502" s="7">
        <v>18.3044</v>
      </c>
      <c r="O502" s="8">
        <v>15.515</v>
      </c>
      <c r="P502" s="7"/>
      <c r="Q502" s="7">
        <v>11.0763</v>
      </c>
      <c r="S502" s="8"/>
    </row>
    <row r="503" spans="1:19" s="12" customFormat="1" ht="16.5" customHeight="1" hidden="1">
      <c r="A503" s="3"/>
      <c r="B503" s="13" t="s">
        <v>56</v>
      </c>
      <c r="C503" s="7">
        <v>19.144</v>
      </c>
      <c r="D503" s="7">
        <v>18.6964</v>
      </c>
      <c r="E503" s="7">
        <v>19.4298</v>
      </c>
      <c r="F503" s="7">
        <v>19.6255</v>
      </c>
      <c r="G503" s="7">
        <v>20.0076</v>
      </c>
      <c r="H503" s="14">
        <v>19.2112</v>
      </c>
      <c r="I503" s="7">
        <v>18.3546</v>
      </c>
      <c r="J503" s="7">
        <v>18.7826</v>
      </c>
      <c r="K503" s="7"/>
      <c r="L503" s="7"/>
      <c r="M503" s="7">
        <v>19.1258</v>
      </c>
      <c r="N503" s="7">
        <v>18.1771</v>
      </c>
      <c r="O503" s="8">
        <v>15.206</v>
      </c>
      <c r="P503" s="7"/>
      <c r="Q503" s="7">
        <v>11.0763</v>
      </c>
      <c r="S503" s="8"/>
    </row>
    <row r="504" spans="1:19" s="12" customFormat="1" ht="16.5" customHeight="1" hidden="1">
      <c r="A504" s="3"/>
      <c r="B504" s="13" t="s">
        <v>57</v>
      </c>
      <c r="C504" s="7">
        <v>18.8525</v>
      </c>
      <c r="D504" s="7">
        <v>18.4052</v>
      </c>
      <c r="E504" s="7">
        <v>19.1673</v>
      </c>
      <c r="F504" s="7">
        <v>19.3921</v>
      </c>
      <c r="G504" s="7">
        <v>19.9639</v>
      </c>
      <c r="H504" s="14">
        <v>18.9489</v>
      </c>
      <c r="I504" s="7">
        <v>18.2119</v>
      </c>
      <c r="J504" s="7">
        <v>18.6481</v>
      </c>
      <c r="K504" s="7"/>
      <c r="L504" s="7"/>
      <c r="M504" s="7">
        <v>18.9978</v>
      </c>
      <c r="N504" s="7">
        <v>18.0219</v>
      </c>
      <c r="O504" s="8">
        <v>15.1844</v>
      </c>
      <c r="P504" s="7"/>
      <c r="Q504" s="7">
        <v>11.0763</v>
      </c>
      <c r="S504" s="8"/>
    </row>
    <row r="505" spans="1:19" s="12" customFormat="1" ht="16.5" customHeight="1" hidden="1">
      <c r="A505" s="3"/>
      <c r="B505" s="13" t="s">
        <v>58</v>
      </c>
      <c r="C505" s="7">
        <v>18.729</v>
      </c>
      <c r="D505" s="7">
        <v>18.2819</v>
      </c>
      <c r="E505" s="7">
        <v>19.0561</v>
      </c>
      <c r="F505" s="7">
        <v>19.2932</v>
      </c>
      <c r="G505" s="7">
        <v>19.9453</v>
      </c>
      <c r="H505" s="14">
        <v>18.8378</v>
      </c>
      <c r="I505" s="7">
        <v>18.3225</v>
      </c>
      <c r="J505" s="7">
        <v>18.6917</v>
      </c>
      <c r="K505" s="7"/>
      <c r="L505" s="7"/>
      <c r="M505" s="7">
        <v>19.043</v>
      </c>
      <c r="N505" s="7">
        <v>18.0966</v>
      </c>
      <c r="O505" s="8">
        <v>15.2219</v>
      </c>
      <c r="P505" s="7"/>
      <c r="Q505" s="7">
        <v>11.0763</v>
      </c>
      <c r="S505" s="8"/>
    </row>
    <row r="506" spans="1:19" s="12" customFormat="1" ht="16.5" customHeight="1" hidden="1">
      <c r="A506" s="3"/>
      <c r="B506" s="4" t="s">
        <v>13</v>
      </c>
      <c r="C506" s="11">
        <f>(C501*7+C502*7+C503*7+C504*7+C505*3)/31</f>
        <v>19.04262258064516</v>
      </c>
      <c r="D506" s="11">
        <f aca="true" t="shared" si="66" ref="D506:O506">(D501*7+D502*7+D503*7+D504*7+D505*3)/31</f>
        <v>18.59335483870968</v>
      </c>
      <c r="E506" s="11">
        <f>(E501*7+E502*7+E503*7+E504*7+E505*3)/31</f>
        <v>19.339261290322582</v>
      </c>
      <c r="F506" s="11">
        <f t="shared" si="66"/>
        <v>19.545470967741934</v>
      </c>
      <c r="G506" s="11">
        <f t="shared" si="66"/>
        <v>19.992403225806452</v>
      </c>
      <c r="H506" s="11">
        <f t="shared" si="66"/>
        <v>19.119854838709678</v>
      </c>
      <c r="I506" s="11">
        <f t="shared" si="66"/>
        <v>18.225132258064516</v>
      </c>
      <c r="J506" s="11">
        <f t="shared" si="66"/>
        <v>18.67998064516129</v>
      </c>
      <c r="K506" s="11"/>
      <c r="L506" s="11"/>
      <c r="M506" s="11">
        <f t="shared" si="66"/>
        <v>19.043045161290326</v>
      </c>
      <c r="N506" s="11">
        <f t="shared" si="66"/>
        <v>18.07751935483871</v>
      </c>
      <c r="O506" s="38">
        <f t="shared" si="66"/>
        <v>15.322654838709678</v>
      </c>
      <c r="P506" s="11"/>
      <c r="Q506" s="11">
        <f>(Q501*7+Q502*7+Q503*7+Q504*7+Q505*3)/31</f>
        <v>11.0763</v>
      </c>
      <c r="S506" s="8"/>
    </row>
    <row r="507" spans="1:19" s="12" customFormat="1" ht="16.5" customHeight="1" hidden="1">
      <c r="A507" s="3"/>
      <c r="B507" s="13" t="s">
        <v>226</v>
      </c>
      <c r="C507" s="7">
        <v>19.3565</v>
      </c>
      <c r="D507" s="7">
        <v>18.9094</v>
      </c>
      <c r="E507" s="7">
        <v>19.7618</v>
      </c>
      <c r="F507" s="7">
        <v>20.0771</v>
      </c>
      <c r="G507" s="7">
        <v>21.238</v>
      </c>
      <c r="H507" s="14">
        <v>19.5433</v>
      </c>
      <c r="I507" s="7">
        <v>18.8259</v>
      </c>
      <c r="J507" s="7">
        <v>19.1933</v>
      </c>
      <c r="K507" s="7"/>
      <c r="L507" s="7"/>
      <c r="M507" s="7">
        <v>19.5294</v>
      </c>
      <c r="N507" s="7">
        <v>18.6092</v>
      </c>
      <c r="O507" s="8">
        <v>15.3211</v>
      </c>
      <c r="P507" s="7"/>
      <c r="Q507" s="7">
        <v>10.8647</v>
      </c>
      <c r="S507" s="8"/>
    </row>
    <row r="508" spans="1:19" s="12" customFormat="1" ht="16.5" customHeight="1" hidden="1">
      <c r="A508" s="3"/>
      <c r="B508" s="13" t="s">
        <v>59</v>
      </c>
      <c r="C508" s="7">
        <v>19.685</v>
      </c>
      <c r="D508" s="7">
        <v>19.2382</v>
      </c>
      <c r="E508" s="7">
        <v>20.0573</v>
      </c>
      <c r="F508" s="7">
        <v>20.3397</v>
      </c>
      <c r="G508" s="7">
        <v>21.2873</v>
      </c>
      <c r="H508" s="14">
        <v>19.839</v>
      </c>
      <c r="I508" s="7">
        <v>19.5552</v>
      </c>
      <c r="J508" s="7">
        <v>19.9285</v>
      </c>
      <c r="K508" s="7"/>
      <c r="L508" s="7"/>
      <c r="M508" s="7">
        <v>20.2435</v>
      </c>
      <c r="N508" s="7">
        <v>19.3593</v>
      </c>
      <c r="O508" s="8">
        <v>15.5737</v>
      </c>
      <c r="P508" s="7"/>
      <c r="Q508" s="7">
        <v>10.8647</v>
      </c>
      <c r="S508" s="8"/>
    </row>
    <row r="509" spans="1:19" s="12" customFormat="1" ht="16.5" customHeight="1" hidden="1">
      <c r="A509" s="3"/>
      <c r="B509" s="13" t="s">
        <v>60</v>
      </c>
      <c r="C509" s="7">
        <v>19.6118</v>
      </c>
      <c r="D509" s="7">
        <v>19.1658</v>
      </c>
      <c r="E509" s="7">
        <v>19.9911</v>
      </c>
      <c r="F509" s="7">
        <v>20.2807</v>
      </c>
      <c r="G509" s="7">
        <v>21.2763</v>
      </c>
      <c r="H509" s="14">
        <v>19.7732</v>
      </c>
      <c r="I509" s="7">
        <v>19.7214</v>
      </c>
      <c r="J509" s="7">
        <v>20.0196</v>
      </c>
      <c r="K509" s="7"/>
      <c r="L509" s="7"/>
      <c r="M509" s="7">
        <v>20.3221</v>
      </c>
      <c r="N509" s="7">
        <v>19.4595</v>
      </c>
      <c r="O509" s="8">
        <v>15.846</v>
      </c>
      <c r="P509" s="7"/>
      <c r="Q509" s="7">
        <v>10.8647</v>
      </c>
      <c r="S509" s="8"/>
    </row>
    <row r="510" spans="1:19" s="12" customFormat="1" ht="16.5" customHeight="1" hidden="1">
      <c r="A510" s="3"/>
      <c r="B510" s="13" t="s">
        <v>61</v>
      </c>
      <c r="C510" s="7">
        <v>19.3879</v>
      </c>
      <c r="D510" s="7">
        <v>18.9423</v>
      </c>
      <c r="E510" s="7">
        <v>19.7895</v>
      </c>
      <c r="F510" s="7">
        <v>20.1014</v>
      </c>
      <c r="G510" s="7">
        <v>21.2427</v>
      </c>
      <c r="H510" s="14">
        <v>19.5717</v>
      </c>
      <c r="I510" s="7">
        <v>19.5203</v>
      </c>
      <c r="J510" s="7">
        <v>19.8512</v>
      </c>
      <c r="K510" s="7"/>
      <c r="L510" s="7"/>
      <c r="M510" s="7">
        <v>20.1576</v>
      </c>
      <c r="N510" s="7">
        <v>19.2885</v>
      </c>
      <c r="O510" s="8">
        <v>15.9014</v>
      </c>
      <c r="P510" s="7"/>
      <c r="Q510" s="7">
        <v>10.8647</v>
      </c>
      <c r="S510" s="8"/>
    </row>
    <row r="511" spans="1:19" s="12" customFormat="1" ht="16.5" customHeight="1" hidden="1">
      <c r="A511" s="3"/>
      <c r="B511" s="13" t="s">
        <v>62</v>
      </c>
      <c r="C511" s="7">
        <v>19.5806</v>
      </c>
      <c r="D511" s="7">
        <v>19.1345</v>
      </c>
      <c r="E511" s="7">
        <v>19.963</v>
      </c>
      <c r="F511" s="7">
        <v>20.2557</v>
      </c>
      <c r="G511" s="7">
        <v>21.2716</v>
      </c>
      <c r="H511" s="14">
        <v>19.745</v>
      </c>
      <c r="I511" s="7">
        <v>19.7324</v>
      </c>
      <c r="J511" s="7">
        <v>20.0388</v>
      </c>
      <c r="K511" s="7"/>
      <c r="L511" s="7"/>
      <c r="M511" s="7">
        <v>20.3354</v>
      </c>
      <c r="N511" s="7">
        <v>19.4825</v>
      </c>
      <c r="O511" s="8">
        <v>16.1457</v>
      </c>
      <c r="P511" s="7"/>
      <c r="Q511" s="7">
        <v>10.8647</v>
      </c>
      <c r="S511" s="8"/>
    </row>
    <row r="512" spans="1:19" s="12" customFormat="1" ht="16.5" customHeight="1" hidden="1">
      <c r="A512" s="3"/>
      <c r="B512" s="4" t="s">
        <v>13</v>
      </c>
      <c r="C512" s="11">
        <f>(C507*4+C508*7+C509*7+C510*7+C511*5)/30</f>
        <v>19.537396666666666</v>
      </c>
      <c r="D512" s="11">
        <f aca="true" t="shared" si="67" ref="D512:Q512">(D507*4+D508*7+D509*7+D510*7+D511*5)/30</f>
        <v>19.09114</v>
      </c>
      <c r="E512" s="11">
        <f t="shared" si="67"/>
        <v>19.924249999999997</v>
      </c>
      <c r="F512" s="11">
        <f t="shared" si="67"/>
        <v>20.221316666666667</v>
      </c>
      <c r="G512" s="11">
        <f t="shared" si="67"/>
        <v>21.265136666666663</v>
      </c>
      <c r="H512" s="11">
        <f t="shared" si="67"/>
        <v>19.706183333333335</v>
      </c>
      <c r="I512" s="11">
        <f t="shared" si="67"/>
        <v>19.51813</v>
      </c>
      <c r="J512" s="11">
        <f t="shared" si="67"/>
        <v>19.852076666666665</v>
      </c>
      <c r="K512" s="11"/>
      <c r="L512" s="11"/>
      <c r="M512" s="11">
        <f t="shared" si="67"/>
        <v>20.1619</v>
      </c>
      <c r="N512" s="11">
        <f t="shared" si="67"/>
        <v>19.28668</v>
      </c>
      <c r="O512" s="38">
        <f t="shared" si="67"/>
        <v>15.775353333333333</v>
      </c>
      <c r="P512" s="11"/>
      <c r="Q512" s="11">
        <f t="shared" si="67"/>
        <v>10.864699999999997</v>
      </c>
      <c r="S512" s="8"/>
    </row>
    <row r="513" spans="1:19" s="12" customFormat="1" ht="16.5" customHeight="1" hidden="1">
      <c r="A513" s="3"/>
      <c r="B513" s="13" t="s">
        <v>230</v>
      </c>
      <c r="C513" s="7">
        <v>19.5823</v>
      </c>
      <c r="D513" s="7">
        <v>19.1358</v>
      </c>
      <c r="E513" s="7">
        <v>20.1057</v>
      </c>
      <c r="F513" s="7">
        <v>20.5393</v>
      </c>
      <c r="G513" s="7">
        <v>22.4703</v>
      </c>
      <c r="H513" s="14">
        <v>19.8875</v>
      </c>
      <c r="I513" s="7">
        <v>19.9248</v>
      </c>
      <c r="J513" s="7">
        <v>20.2049</v>
      </c>
      <c r="K513" s="7"/>
      <c r="L513" s="7"/>
      <c r="M513" s="7">
        <v>20.4965</v>
      </c>
      <c r="N513" s="7">
        <v>19.6519</v>
      </c>
      <c r="O513" s="8">
        <v>16.2303</v>
      </c>
      <c r="P513" s="7"/>
      <c r="Q513" s="7">
        <v>10.7892</v>
      </c>
      <c r="S513" s="8"/>
    </row>
    <row r="514" spans="1:19" s="12" customFormat="1" ht="16.5" customHeight="1" hidden="1">
      <c r="A514" s="3"/>
      <c r="B514" s="13" t="s">
        <v>63</v>
      </c>
      <c r="C514" s="7">
        <v>19.3019</v>
      </c>
      <c r="D514" s="7">
        <v>18.8552</v>
      </c>
      <c r="E514" s="7">
        <v>19.8535</v>
      </c>
      <c r="F514" s="7">
        <v>20.3153</v>
      </c>
      <c r="G514" s="7">
        <v>22.4283</v>
      </c>
      <c r="H514" s="14">
        <v>19.6353</v>
      </c>
      <c r="I514" s="7">
        <v>19.8036</v>
      </c>
      <c r="J514" s="7">
        <v>20.0986</v>
      </c>
      <c r="K514" s="7"/>
      <c r="L514" s="7"/>
      <c r="M514" s="7">
        <v>20.3873</v>
      </c>
      <c r="N514" s="7">
        <v>19.5471</v>
      </c>
      <c r="O514" s="8">
        <v>15.9584</v>
      </c>
      <c r="P514" s="7"/>
      <c r="Q514" s="7">
        <v>10.7892</v>
      </c>
      <c r="S514" s="8"/>
    </row>
    <row r="515" spans="1:19" s="12" customFormat="1" ht="16.5" customHeight="1" hidden="1">
      <c r="A515" s="3"/>
      <c r="B515" s="13" t="s">
        <v>64</v>
      </c>
      <c r="C515" s="7">
        <v>18.2971</v>
      </c>
      <c r="D515" s="7">
        <v>17.8506</v>
      </c>
      <c r="E515" s="7">
        <v>18.9492</v>
      </c>
      <c r="F515" s="7">
        <v>19.5115</v>
      </c>
      <c r="G515" s="7">
        <v>22.2776</v>
      </c>
      <c r="H515" s="14">
        <v>18.7312</v>
      </c>
      <c r="I515" s="7">
        <v>18.9808</v>
      </c>
      <c r="J515" s="7">
        <v>19.3562</v>
      </c>
      <c r="K515" s="7"/>
      <c r="L515" s="7"/>
      <c r="M515" s="7">
        <v>19.6796</v>
      </c>
      <c r="N515" s="7">
        <v>18.7809</v>
      </c>
      <c r="O515" s="8">
        <v>15.5883</v>
      </c>
      <c r="P515" s="7"/>
      <c r="Q515" s="7">
        <v>10.7892</v>
      </c>
      <c r="S515" s="8"/>
    </row>
    <row r="516" spans="1:19" s="12" customFormat="1" ht="16.5" customHeight="1" hidden="1">
      <c r="A516" s="3"/>
      <c r="B516" s="13" t="s">
        <v>65</v>
      </c>
      <c r="C516" s="7">
        <v>17.4061</v>
      </c>
      <c r="D516" s="7">
        <v>16.9586</v>
      </c>
      <c r="E516" s="7">
        <v>18.1478</v>
      </c>
      <c r="F516" s="7">
        <v>18.7994</v>
      </c>
      <c r="G516" s="7">
        <v>22.1439</v>
      </c>
      <c r="H516" s="14">
        <v>17.9295</v>
      </c>
      <c r="I516" s="7">
        <v>17.7815</v>
      </c>
      <c r="J516" s="7">
        <v>18.1728</v>
      </c>
      <c r="K516" s="7"/>
      <c r="L516" s="7"/>
      <c r="M516" s="7">
        <v>18.5324</v>
      </c>
      <c r="N516" s="7">
        <v>17.5711</v>
      </c>
      <c r="O516" s="8">
        <v>14.6742</v>
      </c>
      <c r="P516" s="7"/>
      <c r="Q516" s="7">
        <v>10.7892</v>
      </c>
      <c r="S516" s="8"/>
    </row>
    <row r="517" spans="1:19" s="12" customFormat="1" ht="16.5" customHeight="1" hidden="1">
      <c r="A517" s="3"/>
      <c r="B517" s="13" t="s">
        <v>66</v>
      </c>
      <c r="C517" s="7">
        <v>16.6603</v>
      </c>
      <c r="D517" s="7">
        <v>16.2118</v>
      </c>
      <c r="E517" s="7">
        <v>17.4772</v>
      </c>
      <c r="F517" s="7">
        <v>18.2037</v>
      </c>
      <c r="G517" s="7">
        <v>22.0321</v>
      </c>
      <c r="H517" s="14">
        <v>17.2584</v>
      </c>
      <c r="I517" s="7">
        <v>17.0706</v>
      </c>
      <c r="J517" s="7">
        <v>17.3461</v>
      </c>
      <c r="K517" s="7"/>
      <c r="L517" s="7"/>
      <c r="M517" s="7">
        <v>17.7273</v>
      </c>
      <c r="N517" s="7">
        <v>16.7281</v>
      </c>
      <c r="O517" s="8">
        <v>13.7782</v>
      </c>
      <c r="P517" s="7"/>
      <c r="Q517" s="7">
        <v>10.7892</v>
      </c>
      <c r="S517" s="8"/>
    </row>
    <row r="518" spans="1:19" s="12" customFormat="1" ht="16.5" customHeight="1" hidden="1">
      <c r="A518" s="3"/>
      <c r="B518" s="13" t="s">
        <v>67</v>
      </c>
      <c r="C518" s="7">
        <v>17.1377</v>
      </c>
      <c r="D518" s="7">
        <v>16.6887</v>
      </c>
      <c r="E518" s="7">
        <v>17.907</v>
      </c>
      <c r="F518" s="7">
        <v>18.5858</v>
      </c>
      <c r="G518" s="7">
        <v>22.1037</v>
      </c>
      <c r="H518" s="14">
        <v>17.6879</v>
      </c>
      <c r="I518" s="7">
        <v>17.7214</v>
      </c>
      <c r="J518" s="7">
        <v>17.8905</v>
      </c>
      <c r="K518" s="7"/>
      <c r="L518" s="7"/>
      <c r="M518" s="7">
        <v>18.2536</v>
      </c>
      <c r="N518" s="7">
        <v>17.2849</v>
      </c>
      <c r="O518" s="8">
        <v>14.0467</v>
      </c>
      <c r="P518" s="7"/>
      <c r="Q518" s="7">
        <v>10.7892</v>
      </c>
      <c r="S518" s="8"/>
    </row>
    <row r="519" spans="1:19" s="12" customFormat="1" ht="16.5" customHeight="1" hidden="1">
      <c r="A519" s="3"/>
      <c r="B519" s="4" t="s">
        <v>13</v>
      </c>
      <c r="C519" s="11">
        <f>(C513*2+C514*7+C515*7+C516*7+C517*7+C518*1)/31</f>
        <v>17.998712903225808</v>
      </c>
      <c r="D519" s="11">
        <f aca="true" t="shared" si="68" ref="D519:Q519">(D513*2+D514*7+D515*7+D516*7+D517*7+D518*1)/31</f>
        <v>17.551409677419354</v>
      </c>
      <c r="E519" s="11">
        <f t="shared" si="68"/>
        <v>18.681041935483876</v>
      </c>
      <c r="F519" s="11">
        <f t="shared" si="68"/>
        <v>19.27334516129032</v>
      </c>
      <c r="G519" s="11">
        <f t="shared" si="68"/>
        <v>22.23282580645161</v>
      </c>
      <c r="H519" s="11">
        <f t="shared" si="68"/>
        <v>18.4627</v>
      </c>
      <c r="I519" s="11">
        <f t="shared" si="68"/>
        <v>18.484725806451614</v>
      </c>
      <c r="J519" s="11">
        <f t="shared" si="68"/>
        <v>18.8102</v>
      </c>
      <c r="K519" s="11"/>
      <c r="L519" s="11"/>
      <c r="M519" s="11">
        <f t="shared" si="68"/>
        <v>19.14621935483871</v>
      </c>
      <c r="N519" s="11">
        <f t="shared" si="68"/>
        <v>18.225132258064516</v>
      </c>
      <c r="O519" s="38">
        <f t="shared" si="68"/>
        <v>15.048419354838709</v>
      </c>
      <c r="P519" s="11"/>
      <c r="Q519" s="11">
        <f t="shared" si="68"/>
        <v>10.789200000000001</v>
      </c>
      <c r="S519" s="8"/>
    </row>
    <row r="520" spans="1:19" s="12" customFormat="1" ht="16.5" customHeight="1" hidden="1">
      <c r="A520" s="3"/>
      <c r="B520" s="13" t="s">
        <v>233</v>
      </c>
      <c r="C520" s="7">
        <v>17.187</v>
      </c>
      <c r="D520" s="7">
        <v>16.7374</v>
      </c>
      <c r="E520" s="7">
        <v>17.9776</v>
      </c>
      <c r="F520" s="7">
        <v>18.6776</v>
      </c>
      <c r="G520" s="7">
        <v>22.332</v>
      </c>
      <c r="H520" s="14">
        <v>17.7582</v>
      </c>
      <c r="I520" s="7">
        <v>17.8034</v>
      </c>
      <c r="J520" s="7">
        <v>18.0831</v>
      </c>
      <c r="K520" s="7"/>
      <c r="L520" s="7"/>
      <c r="M520" s="7">
        <v>18.3237</v>
      </c>
      <c r="N520" s="7">
        <v>17.3583</v>
      </c>
      <c r="O520" s="8">
        <v>14.206</v>
      </c>
      <c r="P520" s="7"/>
      <c r="Q520" s="7">
        <v>10.8267</v>
      </c>
      <c r="S520" s="8"/>
    </row>
    <row r="521" spans="1:19" s="12" customFormat="1" ht="16.5" customHeight="1" hidden="1">
      <c r="A521" s="3"/>
      <c r="B521" s="13" t="s">
        <v>68</v>
      </c>
      <c r="C521" s="7">
        <v>17.1623</v>
      </c>
      <c r="D521" s="7">
        <v>16.7133</v>
      </c>
      <c r="E521" s="7">
        <v>17.9551</v>
      </c>
      <c r="F521" s="7">
        <v>18.6574</v>
      </c>
      <c r="G521" s="7">
        <v>22.3283</v>
      </c>
      <c r="H521" s="14">
        <v>17.736</v>
      </c>
      <c r="I521" s="7">
        <v>17.6608</v>
      </c>
      <c r="J521" s="7">
        <v>17.9397</v>
      </c>
      <c r="K521" s="7"/>
      <c r="L521" s="7"/>
      <c r="M521" s="7">
        <v>18.1855</v>
      </c>
      <c r="N521" s="7">
        <v>17.2073</v>
      </c>
      <c r="O521" s="8">
        <v>14.2478</v>
      </c>
      <c r="P521" s="7"/>
      <c r="Q521" s="7">
        <v>10.8267</v>
      </c>
      <c r="S521" s="8"/>
    </row>
    <row r="522" spans="1:19" s="12" customFormat="1" ht="16.5" customHeight="1" hidden="1">
      <c r="A522" s="3"/>
      <c r="B522" s="13" t="s">
        <v>69</v>
      </c>
      <c r="C522" s="7">
        <v>17.7114</v>
      </c>
      <c r="D522" s="7">
        <v>17.2643</v>
      </c>
      <c r="E522" s="7">
        <v>18.4485</v>
      </c>
      <c r="F522" s="7">
        <v>19.0955</v>
      </c>
      <c r="G522" s="7">
        <v>22.4107</v>
      </c>
      <c r="H522" s="14">
        <v>18.2302</v>
      </c>
      <c r="I522" s="7">
        <v>18.1322</v>
      </c>
      <c r="J522" s="7">
        <v>18.4552</v>
      </c>
      <c r="K522" s="7"/>
      <c r="L522" s="7"/>
      <c r="M522" s="7">
        <v>18.6889</v>
      </c>
      <c r="N522" s="7">
        <v>17.7431</v>
      </c>
      <c r="O522" s="8">
        <v>14.4643</v>
      </c>
      <c r="P522" s="7"/>
      <c r="Q522" s="7">
        <v>10.8267</v>
      </c>
      <c r="S522" s="8"/>
    </row>
    <row r="523" spans="1:19" s="12" customFormat="1" ht="16.5" customHeight="1" hidden="1">
      <c r="A523" s="3"/>
      <c r="B523" s="13" t="s">
        <v>70</v>
      </c>
      <c r="C523" s="7">
        <v>17.8202</v>
      </c>
      <c r="D523" s="7">
        <v>17.3734</v>
      </c>
      <c r="E523" s="7">
        <v>18.5462</v>
      </c>
      <c r="F523" s="7">
        <v>19.1823</v>
      </c>
      <c r="G523" s="7">
        <v>22.427</v>
      </c>
      <c r="H523" s="14">
        <v>18.3281</v>
      </c>
      <c r="I523" s="7">
        <v>18.5351</v>
      </c>
      <c r="J523" s="7">
        <v>18.8856</v>
      </c>
      <c r="K523" s="7"/>
      <c r="L523" s="7"/>
      <c r="M523" s="7">
        <v>19.1104</v>
      </c>
      <c r="N523" s="7">
        <v>18.1876</v>
      </c>
      <c r="O523" s="8">
        <v>14.5872</v>
      </c>
      <c r="P523" s="7"/>
      <c r="Q523" s="7">
        <v>10.8267</v>
      </c>
      <c r="S523" s="8"/>
    </row>
    <row r="524" spans="1:19" s="12" customFormat="1" ht="16.5" customHeight="1" hidden="1">
      <c r="A524" s="3"/>
      <c r="B524" s="13" t="s">
        <v>71</v>
      </c>
      <c r="C524" s="7">
        <v>17.6356</v>
      </c>
      <c r="D524" s="7">
        <v>17.1883</v>
      </c>
      <c r="E524" s="7">
        <v>18.3803</v>
      </c>
      <c r="F524" s="7">
        <v>19.035</v>
      </c>
      <c r="G524" s="7">
        <v>22.3993</v>
      </c>
      <c r="H524" s="14">
        <v>18.162</v>
      </c>
      <c r="I524" s="7">
        <v>18.2542</v>
      </c>
      <c r="J524" s="7">
        <v>18.5901</v>
      </c>
      <c r="K524" s="7"/>
      <c r="L524" s="7"/>
      <c r="M524" s="7">
        <v>18.8186</v>
      </c>
      <c r="N524" s="7">
        <v>17.8859</v>
      </c>
      <c r="O524" s="8">
        <v>14.4606</v>
      </c>
      <c r="P524" s="7"/>
      <c r="Q524" s="7">
        <v>10.8267</v>
      </c>
      <c r="S524" s="8"/>
    </row>
    <row r="525" spans="1:19" s="12" customFormat="1" ht="16.5" customHeight="1" hidden="1">
      <c r="A525" s="3"/>
      <c r="B525" s="4" t="s">
        <v>13</v>
      </c>
      <c r="C525" s="11">
        <f>(C520*6+C521*7+C522*7+C523*7+C524*3)/30</f>
        <v>17.496203333333334</v>
      </c>
      <c r="D525" s="11">
        <f aca="true" t="shared" si="69" ref="D525:Q525">(D520*6+D521*7+D522*7+D523*7+D524*3)/30</f>
        <v>17.04821</v>
      </c>
      <c r="E525" s="11">
        <f t="shared" si="69"/>
        <v>18.255170000000003</v>
      </c>
      <c r="F525" s="11">
        <f t="shared" si="69"/>
        <v>18.923900000000003</v>
      </c>
      <c r="G525" s="11">
        <f t="shared" si="69"/>
        <v>22.378396666666667</v>
      </c>
      <c r="H525" s="11">
        <f t="shared" si="69"/>
        <v>18.03651</v>
      </c>
      <c r="I525" s="11">
        <f t="shared" si="69"/>
        <v>18.062656666666665</v>
      </c>
      <c r="J525" s="11">
        <f t="shared" si="69"/>
        <v>18.374413333333337</v>
      </c>
      <c r="K525" s="11"/>
      <c r="L525" s="11"/>
      <c r="M525" s="11">
        <f t="shared" si="69"/>
        <v>18.609719999999996</v>
      </c>
      <c r="N525" s="11">
        <f t="shared" si="69"/>
        <v>17.659116666666666</v>
      </c>
      <c r="O525" s="38">
        <f t="shared" si="69"/>
        <v>14.39043</v>
      </c>
      <c r="P525" s="11"/>
      <c r="Q525" s="11">
        <f t="shared" si="69"/>
        <v>10.826699999999999</v>
      </c>
      <c r="S525" s="8"/>
    </row>
    <row r="526" spans="1:19" s="12" customFormat="1" ht="16.5" customHeight="1" hidden="1">
      <c r="A526" s="3"/>
      <c r="B526" s="13" t="s">
        <v>238</v>
      </c>
      <c r="C526" s="7">
        <v>17.1982</v>
      </c>
      <c r="D526" s="7">
        <v>16.7511</v>
      </c>
      <c r="E526" s="7">
        <v>17.8386</v>
      </c>
      <c r="F526" s="7">
        <v>18.389</v>
      </c>
      <c r="G526" s="7">
        <v>21.0757</v>
      </c>
      <c r="H526" s="14">
        <v>17.6205</v>
      </c>
      <c r="I526" s="7">
        <v>17.6599</v>
      </c>
      <c r="J526" s="7">
        <v>18.0254</v>
      </c>
      <c r="K526" s="7"/>
      <c r="L526" s="7"/>
      <c r="M526" s="7">
        <v>18.2655</v>
      </c>
      <c r="N526" s="7">
        <v>17.3033</v>
      </c>
      <c r="O526" s="8">
        <v>14.1269</v>
      </c>
      <c r="P526" s="7"/>
      <c r="Q526" s="7">
        <v>10.8511</v>
      </c>
      <c r="S526" s="8"/>
    </row>
    <row r="527" spans="1:19" s="12" customFormat="1" ht="16.5" customHeight="1" hidden="1">
      <c r="A527" s="3"/>
      <c r="B527" s="13" t="s">
        <v>72</v>
      </c>
      <c r="C527" s="7">
        <v>16.9522</v>
      </c>
      <c r="D527" s="7">
        <v>16.5051</v>
      </c>
      <c r="E527" s="7">
        <v>17.6173</v>
      </c>
      <c r="F527" s="7">
        <v>18.1922</v>
      </c>
      <c r="G527" s="7">
        <v>21.0388</v>
      </c>
      <c r="H527" s="14">
        <v>17.3992</v>
      </c>
      <c r="I527" s="7">
        <v>17.3126</v>
      </c>
      <c r="J527" s="7">
        <v>17.6957</v>
      </c>
      <c r="K527" s="7"/>
      <c r="L527" s="7"/>
      <c r="M527" s="7">
        <v>17.9143</v>
      </c>
      <c r="N527" s="7">
        <v>17.0054</v>
      </c>
      <c r="O527" s="8">
        <v>14.0987</v>
      </c>
      <c r="P527" s="7"/>
      <c r="Q527" s="7">
        <v>10.8511</v>
      </c>
      <c r="S527" s="8"/>
    </row>
    <row r="528" spans="1:19" s="12" customFormat="1" ht="16.5" customHeight="1" hidden="1">
      <c r="A528" s="3"/>
      <c r="B528" s="13" t="s">
        <v>73</v>
      </c>
      <c r="C528" s="7">
        <v>17.3118</v>
      </c>
      <c r="D528" s="7">
        <v>16.866</v>
      </c>
      <c r="E528" s="7">
        <v>17.9402</v>
      </c>
      <c r="F528" s="7">
        <v>18.4789</v>
      </c>
      <c r="G528" s="7">
        <v>21.0928</v>
      </c>
      <c r="H528" s="14">
        <v>17.7227</v>
      </c>
      <c r="I528" s="7">
        <v>17.7612</v>
      </c>
      <c r="J528" s="7">
        <v>18.079</v>
      </c>
      <c r="K528" s="7"/>
      <c r="L528" s="7"/>
      <c r="M528" s="7">
        <v>18.2773</v>
      </c>
      <c r="N528" s="7">
        <v>17.4207</v>
      </c>
      <c r="O528" s="8">
        <v>14.5897</v>
      </c>
      <c r="P528" s="7"/>
      <c r="Q528" s="7">
        <v>10.8511</v>
      </c>
      <c r="S528" s="8"/>
    </row>
    <row r="529" spans="1:19" s="12" customFormat="1" ht="16.5" customHeight="1" hidden="1">
      <c r="A529" s="3"/>
      <c r="B529" s="13" t="s">
        <v>74</v>
      </c>
      <c r="C529" s="7">
        <v>17.3177</v>
      </c>
      <c r="D529" s="7">
        <v>16.8723</v>
      </c>
      <c r="E529" s="7">
        <v>17.9454</v>
      </c>
      <c r="F529" s="7">
        <v>18.4834</v>
      </c>
      <c r="G529" s="7">
        <v>21.0937</v>
      </c>
      <c r="H529" s="14">
        <v>17.7281</v>
      </c>
      <c r="I529" s="7">
        <v>17.8565</v>
      </c>
      <c r="J529" s="7">
        <v>18.1335</v>
      </c>
      <c r="K529" s="7"/>
      <c r="L529" s="7"/>
      <c r="M529" s="7">
        <v>18.3344</v>
      </c>
      <c r="N529" s="7">
        <v>17.4718</v>
      </c>
      <c r="O529" s="8">
        <v>14.6415</v>
      </c>
      <c r="P529" s="7"/>
      <c r="Q529" s="7">
        <v>10.8511</v>
      </c>
      <c r="S529" s="8"/>
    </row>
    <row r="530" spans="1:19" s="12" customFormat="1" ht="16.5" customHeight="1" hidden="1">
      <c r="A530" s="3"/>
      <c r="B530" s="13" t="s">
        <v>75</v>
      </c>
      <c r="C530" s="7">
        <v>17.4745</v>
      </c>
      <c r="D530" s="7">
        <v>17.0296</v>
      </c>
      <c r="E530" s="7">
        <v>18.0864</v>
      </c>
      <c r="F530" s="7">
        <v>18.6086</v>
      </c>
      <c r="G530" s="7">
        <v>21.1172</v>
      </c>
      <c r="H530" s="14">
        <v>17.8692</v>
      </c>
      <c r="I530" s="7">
        <v>18.0282</v>
      </c>
      <c r="J530" s="7">
        <v>18.3525</v>
      </c>
      <c r="K530" s="7"/>
      <c r="L530" s="7"/>
      <c r="M530" s="7">
        <v>18.5569</v>
      </c>
      <c r="N530" s="7">
        <v>17.6861</v>
      </c>
      <c r="O530" s="8">
        <v>14.6956</v>
      </c>
      <c r="P530" s="7"/>
      <c r="Q530" s="7">
        <v>10.8511</v>
      </c>
      <c r="S530" s="8"/>
    </row>
    <row r="531" spans="1:19" s="12" customFormat="1" ht="16.5" customHeight="1" hidden="1">
      <c r="A531" s="3"/>
      <c r="B531" s="4" t="s">
        <v>13</v>
      </c>
      <c r="C531" s="11">
        <f>(C526*4+C527*7+C528*7+C529*7+C530*6)/31</f>
        <v>17.248764516129032</v>
      </c>
      <c r="D531" s="11">
        <f>(D526*4+D527*7+D528*7+D529*7+D530*6)/31</f>
        <v>16.802767741935483</v>
      </c>
      <c r="E531" s="11">
        <f aca="true" t="shared" si="70" ref="E531:Q531">(E526*4+E527*7+E528*7+E529*7+E530*6)/31</f>
        <v>17.883648387096773</v>
      </c>
      <c r="F531" s="11">
        <f t="shared" si="70"/>
        <v>18.42868064516129</v>
      </c>
      <c r="G531" s="11">
        <f t="shared" si="70"/>
        <v>21.08332580645161</v>
      </c>
      <c r="H531" s="11">
        <f t="shared" si="70"/>
        <v>17.66603870967742</v>
      </c>
      <c r="I531" s="11">
        <f t="shared" si="70"/>
        <v>17.72002903225806</v>
      </c>
      <c r="J531" s="11">
        <f t="shared" si="70"/>
        <v>18.050774193548385</v>
      </c>
      <c r="K531" s="11"/>
      <c r="L531" s="11"/>
      <c r="M531" s="11">
        <f t="shared" si="70"/>
        <v>18.260819354838713</v>
      </c>
      <c r="N531" s="11">
        <f t="shared" si="70"/>
        <v>17.37468064516129</v>
      </c>
      <c r="O531" s="38">
        <f t="shared" si="70"/>
        <v>14.451306451612904</v>
      </c>
      <c r="P531" s="11"/>
      <c r="Q531" s="11">
        <f t="shared" si="70"/>
        <v>10.851099999999999</v>
      </c>
      <c r="S531" s="8"/>
    </row>
    <row r="532" spans="1:19" s="12" customFormat="1" ht="16.5" customHeight="1" hidden="1">
      <c r="A532" s="3"/>
      <c r="B532" s="13" t="s">
        <v>244</v>
      </c>
      <c r="C532" s="7">
        <v>17.3608</v>
      </c>
      <c r="D532" s="7">
        <v>16.9162</v>
      </c>
      <c r="E532" s="7">
        <v>18.0629</v>
      </c>
      <c r="F532" s="7">
        <v>18.6754</v>
      </c>
      <c r="G532" s="7">
        <v>21.7716</v>
      </c>
      <c r="H532" s="14">
        <v>17.8459</v>
      </c>
      <c r="I532" s="7">
        <v>18.0128</v>
      </c>
      <c r="J532" s="7">
        <v>18.3642</v>
      </c>
      <c r="K532" s="7"/>
      <c r="L532" s="7"/>
      <c r="M532" s="7">
        <v>18.5724</v>
      </c>
      <c r="N532" s="7">
        <v>17.6926</v>
      </c>
      <c r="O532" s="8">
        <v>14.6959</v>
      </c>
      <c r="P532" s="7"/>
      <c r="Q532" s="7">
        <v>10.8031</v>
      </c>
      <c r="S532" s="8"/>
    </row>
    <row r="533" spans="1:19" s="12" customFormat="1" ht="16.5" customHeight="1" hidden="1">
      <c r="A533" s="3"/>
      <c r="B533" s="13" t="s">
        <v>76</v>
      </c>
      <c r="C533" s="7">
        <v>17.8479</v>
      </c>
      <c r="D533" s="7">
        <v>17.4045</v>
      </c>
      <c r="E533" s="7">
        <v>18.5006</v>
      </c>
      <c r="F533" s="7">
        <v>19.0642</v>
      </c>
      <c r="G533" s="7">
        <v>21.8447</v>
      </c>
      <c r="H533" s="14">
        <v>18.2842</v>
      </c>
      <c r="I533" s="7">
        <v>18.7222</v>
      </c>
      <c r="J533" s="7">
        <v>19.0987</v>
      </c>
      <c r="K533" s="7"/>
      <c r="L533" s="7"/>
      <c r="M533" s="7">
        <v>19.2967</v>
      </c>
      <c r="N533" s="7">
        <v>18.4443</v>
      </c>
      <c r="O533" s="8">
        <v>15.1306</v>
      </c>
      <c r="P533" s="7"/>
      <c r="Q533" s="7">
        <v>10.8031</v>
      </c>
      <c r="S533" s="8"/>
    </row>
    <row r="534" spans="1:19" s="12" customFormat="1" ht="16.5" customHeight="1" hidden="1">
      <c r="A534" s="3"/>
      <c r="B534" s="13" t="s">
        <v>77</v>
      </c>
      <c r="C534" s="7">
        <v>17.5354</v>
      </c>
      <c r="D534" s="7">
        <v>17.0944</v>
      </c>
      <c r="E534" s="7">
        <v>18.2185</v>
      </c>
      <c r="F534" s="7">
        <v>18.8128</v>
      </c>
      <c r="G534" s="7">
        <v>21.7978</v>
      </c>
      <c r="H534" s="14">
        <v>18.0032</v>
      </c>
      <c r="I534" s="7">
        <v>18.3765</v>
      </c>
      <c r="J534" s="7">
        <v>18.8551</v>
      </c>
      <c r="K534" s="7"/>
      <c r="L534" s="7"/>
      <c r="M534" s="7">
        <v>19.0675</v>
      </c>
      <c r="N534" s="7">
        <v>18.1805</v>
      </c>
      <c r="O534" s="8">
        <v>14.9109</v>
      </c>
      <c r="P534" s="7"/>
      <c r="Q534" s="7">
        <v>10.8031</v>
      </c>
      <c r="S534" s="8"/>
    </row>
    <row r="535" spans="1:19" s="12" customFormat="1" ht="16.5" customHeight="1" hidden="1">
      <c r="A535" s="3"/>
      <c r="B535" s="13" t="s">
        <v>78</v>
      </c>
      <c r="C535" s="7">
        <v>16.7419</v>
      </c>
      <c r="D535" s="7">
        <v>16.3054</v>
      </c>
      <c r="E535" s="7">
        <v>17.5026</v>
      </c>
      <c r="F535" s="7">
        <v>18.1753</v>
      </c>
      <c r="G535" s="7">
        <v>21.6788</v>
      </c>
      <c r="H535" s="14">
        <v>17.2896</v>
      </c>
      <c r="I535" s="7">
        <v>17.4559</v>
      </c>
      <c r="J535" s="7">
        <v>17.9898</v>
      </c>
      <c r="K535" s="7"/>
      <c r="L535" s="7"/>
      <c r="M535" s="7">
        <v>18.2403</v>
      </c>
      <c r="N535" s="7">
        <v>17.2609</v>
      </c>
      <c r="O535" s="8">
        <v>14.2711</v>
      </c>
      <c r="P535" s="7"/>
      <c r="Q535" s="7">
        <v>10.8031</v>
      </c>
      <c r="S535" s="8"/>
    </row>
    <row r="536" spans="1:19" s="12" customFormat="1" ht="16.5" customHeight="1" hidden="1">
      <c r="A536" s="3"/>
      <c r="B536" s="13" t="s">
        <v>79</v>
      </c>
      <c r="C536" s="7">
        <v>16.1872</v>
      </c>
      <c r="D536" s="7">
        <v>15.7538</v>
      </c>
      <c r="E536" s="7">
        <v>17.0021</v>
      </c>
      <c r="F536" s="7">
        <v>17.7297</v>
      </c>
      <c r="G536" s="7">
        <v>21.5956</v>
      </c>
      <c r="H536" s="14">
        <v>16.7907</v>
      </c>
      <c r="I536" s="7">
        <v>17.0327</v>
      </c>
      <c r="J536" s="7">
        <v>17.5878</v>
      </c>
      <c r="K536" s="7"/>
      <c r="L536" s="7"/>
      <c r="M536" s="7">
        <v>17.8519</v>
      </c>
      <c r="N536" s="7">
        <v>16.8406</v>
      </c>
      <c r="O536" s="8">
        <v>13.9175</v>
      </c>
      <c r="P536" s="7"/>
      <c r="Q536" s="7">
        <v>10.8031</v>
      </c>
      <c r="S536" s="8"/>
    </row>
    <row r="537" spans="1:19" s="12" customFormat="1" ht="16.5" customHeight="1" hidden="1">
      <c r="A537" s="3"/>
      <c r="B537" s="13" t="s">
        <v>80</v>
      </c>
      <c r="C537" s="7">
        <v>16.2937</v>
      </c>
      <c r="D537" s="7">
        <v>15.8619</v>
      </c>
      <c r="E537" s="7">
        <v>17.0973</v>
      </c>
      <c r="F537" s="7">
        <v>17.8139</v>
      </c>
      <c r="G537" s="7">
        <v>21.6116</v>
      </c>
      <c r="H537" s="14">
        <v>16.8866</v>
      </c>
      <c r="I537" s="7">
        <v>17.1689</v>
      </c>
      <c r="J537" s="7">
        <v>17.6746</v>
      </c>
      <c r="K537" s="7"/>
      <c r="L537" s="7"/>
      <c r="M537" s="7">
        <v>17.931</v>
      </c>
      <c r="N537" s="7">
        <v>16.9406</v>
      </c>
      <c r="O537" s="8">
        <v>13.9754</v>
      </c>
      <c r="P537" s="7"/>
      <c r="Q537" s="7">
        <v>10.8031</v>
      </c>
      <c r="S537" s="8"/>
    </row>
    <row r="538" spans="1:19" s="12" customFormat="1" ht="16.5" customHeight="1" hidden="1">
      <c r="A538" s="3"/>
      <c r="B538" s="4" t="s">
        <v>13</v>
      </c>
      <c r="C538" s="11">
        <f>(C532*1+C533*7+C534*7+C535*7+C536*7+C537*2)/31</f>
        <v>17.036612903225805</v>
      </c>
      <c r="D538" s="11">
        <f>(D532*4+D533*7+D534*7+D535*7+D536*6)/31</f>
        <v>16.703796774193545</v>
      </c>
      <c r="E538" s="11">
        <f aca="true" t="shared" si="71" ref="E538:Q538">(E532*4+E533*7+E534*7+E535*7+E536*6)/31</f>
        <v>17.86503548387097</v>
      </c>
      <c r="F538" s="11">
        <f t="shared" si="71"/>
        <v>18.49825483870968</v>
      </c>
      <c r="G538" s="11">
        <f t="shared" si="71"/>
        <v>21.739003225806446</v>
      </c>
      <c r="H538" s="11">
        <f t="shared" si="71"/>
        <v>17.65054193548387</v>
      </c>
      <c r="I538" s="11">
        <f t="shared" si="71"/>
        <v>17.939664516129035</v>
      </c>
      <c r="J538" s="11">
        <f t="shared" si="71"/>
        <v>18.406090322580646</v>
      </c>
      <c r="K538" s="11"/>
      <c r="L538" s="11"/>
      <c r="M538" s="11">
        <f t="shared" si="71"/>
        <v>18.633306451612906</v>
      </c>
      <c r="N538" s="11">
        <f t="shared" si="71"/>
        <v>17.710125806451614</v>
      </c>
      <c r="O538" s="38">
        <f t="shared" si="71"/>
        <v>14.596025806451612</v>
      </c>
      <c r="P538" s="11"/>
      <c r="Q538" s="11">
        <f t="shared" si="71"/>
        <v>10.803099999999999</v>
      </c>
      <c r="S538" s="8"/>
    </row>
    <row r="539" spans="1:19" s="12" customFormat="1" ht="16.5" customHeight="1" hidden="1">
      <c r="A539" s="3"/>
      <c r="B539" s="13" t="s">
        <v>27</v>
      </c>
      <c r="C539" s="7">
        <v>16.2785</v>
      </c>
      <c r="D539" s="7">
        <v>15.8486</v>
      </c>
      <c r="E539" s="7">
        <v>17.1139</v>
      </c>
      <c r="F539" s="7">
        <v>17.8626</v>
      </c>
      <c r="G539" s="7">
        <v>21.8728</v>
      </c>
      <c r="H539" s="14">
        <v>16.9041</v>
      </c>
      <c r="I539" s="7">
        <v>17.2218</v>
      </c>
      <c r="J539" s="7">
        <v>17.6243</v>
      </c>
      <c r="K539" s="7"/>
      <c r="L539" s="7"/>
      <c r="M539" s="7">
        <v>17.8817</v>
      </c>
      <c r="N539" s="7">
        <v>16.8902</v>
      </c>
      <c r="O539" s="8">
        <v>13.8315</v>
      </c>
      <c r="P539" s="7"/>
      <c r="Q539" s="7">
        <v>10.6101</v>
      </c>
      <c r="S539" s="8"/>
    </row>
    <row r="540" spans="1:19" s="12" customFormat="1" ht="16.5" customHeight="1" hidden="1">
      <c r="A540" s="3"/>
      <c r="B540" s="13" t="s">
        <v>81</v>
      </c>
      <c r="C540" s="7">
        <v>16.5004</v>
      </c>
      <c r="D540" s="7">
        <v>16.0731</v>
      </c>
      <c r="E540" s="7">
        <v>17.3125</v>
      </c>
      <c r="F540" s="7">
        <v>18.0385</v>
      </c>
      <c r="G540" s="7">
        <v>21.9061</v>
      </c>
      <c r="H540" s="14">
        <v>17.104</v>
      </c>
      <c r="I540" s="7">
        <v>17.3823</v>
      </c>
      <c r="J540" s="7">
        <v>17.6543</v>
      </c>
      <c r="K540" s="7"/>
      <c r="L540" s="7"/>
      <c r="M540" s="7">
        <v>17.9099</v>
      </c>
      <c r="N540" s="7">
        <v>16.9253</v>
      </c>
      <c r="O540" s="8">
        <v>13.8504</v>
      </c>
      <c r="P540" s="7"/>
      <c r="Q540" s="7">
        <v>10.6101</v>
      </c>
      <c r="S540" s="8"/>
    </row>
    <row r="541" spans="1:19" s="12" customFormat="1" ht="16.5" customHeight="1" hidden="1">
      <c r="A541" s="3"/>
      <c r="B541" s="13" t="s">
        <v>82</v>
      </c>
      <c r="C541" s="7">
        <v>16.5628</v>
      </c>
      <c r="D541" s="7">
        <v>16.1377</v>
      </c>
      <c r="E541" s="7">
        <v>17.3676</v>
      </c>
      <c r="F541" s="7">
        <v>18.0869</v>
      </c>
      <c r="G541" s="7">
        <v>21.9154</v>
      </c>
      <c r="H541" s="14">
        <v>17.1602</v>
      </c>
      <c r="I541" s="7">
        <v>17.4591</v>
      </c>
      <c r="J541" s="7">
        <v>17.7942</v>
      </c>
      <c r="K541" s="7"/>
      <c r="L541" s="7"/>
      <c r="M541" s="7">
        <v>18.0492</v>
      </c>
      <c r="N541" s="7">
        <v>17.0683</v>
      </c>
      <c r="O541" s="8">
        <v>13.8396</v>
      </c>
      <c r="P541" s="7"/>
      <c r="Q541" s="7">
        <v>10.6101</v>
      </c>
      <c r="S541" s="8"/>
    </row>
    <row r="542" spans="1:19" s="12" customFormat="1" ht="16.5" customHeight="1" hidden="1">
      <c r="A542" s="3"/>
      <c r="B542" s="13" t="s">
        <v>83</v>
      </c>
      <c r="C542" s="7">
        <v>16.3853</v>
      </c>
      <c r="D542" s="7">
        <v>15.9614</v>
      </c>
      <c r="E542" s="7">
        <v>17.2074</v>
      </c>
      <c r="F542" s="7">
        <v>17.9441</v>
      </c>
      <c r="G542" s="7">
        <v>21.8888</v>
      </c>
      <c r="H542" s="14">
        <v>17.0006</v>
      </c>
      <c r="I542" s="7">
        <v>17.3811</v>
      </c>
      <c r="J542" s="7">
        <v>17.7922</v>
      </c>
      <c r="K542" s="7"/>
      <c r="L542" s="7"/>
      <c r="M542" s="7">
        <v>18.0524</v>
      </c>
      <c r="N542" s="7">
        <v>17.0595</v>
      </c>
      <c r="O542" s="8">
        <v>13.8049</v>
      </c>
      <c r="P542" s="7"/>
      <c r="Q542" s="7">
        <v>10.6101</v>
      </c>
      <c r="S542" s="8"/>
    </row>
    <row r="543" spans="1:19" s="12" customFormat="1" ht="16.5" customHeight="1" hidden="1">
      <c r="A543" s="3"/>
      <c r="B543" s="13" t="s">
        <v>84</v>
      </c>
      <c r="C543" s="7">
        <v>16.3613</v>
      </c>
      <c r="D543" s="7">
        <v>15.9399</v>
      </c>
      <c r="E543" s="7">
        <v>17.1848</v>
      </c>
      <c r="F543" s="7">
        <v>17.9234</v>
      </c>
      <c r="G543" s="7">
        <v>21.8852</v>
      </c>
      <c r="H543" s="14">
        <v>16.9791</v>
      </c>
      <c r="I543" s="7">
        <v>17.2605</v>
      </c>
      <c r="J543" s="7">
        <v>17.6981</v>
      </c>
      <c r="K543" s="7"/>
      <c r="L543" s="7"/>
      <c r="M543" s="7">
        <v>17.9699</v>
      </c>
      <c r="N543" s="7">
        <v>16.95</v>
      </c>
      <c r="O543" s="8">
        <v>13.6942</v>
      </c>
      <c r="P543" s="7"/>
      <c r="Q543" s="7">
        <v>10.6101</v>
      </c>
      <c r="S543" s="8"/>
    </row>
    <row r="544" spans="1:19" s="12" customFormat="1" ht="16.5" customHeight="1" hidden="1">
      <c r="A544" s="3"/>
      <c r="B544" s="4" t="s">
        <v>13</v>
      </c>
      <c r="C544" s="11">
        <f>(C539*5+C540*7+C541*7+C542*7+C543*4)/30</f>
        <v>16.432573333333334</v>
      </c>
      <c r="D544" s="11">
        <f aca="true" t="shared" si="72" ref="D544:Q544">(D539*5+D540*7+D541*7+D542*7+D543*4)/30</f>
        <v>16.006933333333333</v>
      </c>
      <c r="E544" s="11">
        <f t="shared" si="72"/>
        <v>17.250706666666666</v>
      </c>
      <c r="F544" s="11">
        <f>(F539*5+F540*7+F541*7+F542*7+F543*4)/30</f>
        <v>17.98310333333333</v>
      </c>
      <c r="G544" s="11">
        <f t="shared" si="72"/>
        <v>21.895896666666665</v>
      </c>
      <c r="H544" s="11">
        <f t="shared" si="72"/>
        <v>17.043016666666666</v>
      </c>
      <c r="I544" s="11">
        <f t="shared" si="72"/>
        <v>17.356949999999998</v>
      </c>
      <c r="J544" s="11">
        <f t="shared" si="72"/>
        <v>17.71996</v>
      </c>
      <c r="K544" s="11"/>
      <c r="L544" s="11"/>
      <c r="M544" s="11">
        <f t="shared" si="72"/>
        <v>17.978953333333333</v>
      </c>
      <c r="N544" s="11">
        <f t="shared" si="72"/>
        <v>16.987423333333332</v>
      </c>
      <c r="O544" s="38">
        <f t="shared" si="72"/>
        <v>13.813286666666666</v>
      </c>
      <c r="P544" s="11"/>
      <c r="Q544" s="11">
        <f t="shared" si="72"/>
        <v>10.6101</v>
      </c>
      <c r="S544" s="8"/>
    </row>
    <row r="545" spans="1:19" s="12" customFormat="1" ht="16.5" customHeight="1" hidden="1">
      <c r="A545" s="3"/>
      <c r="B545" s="13" t="s">
        <v>253</v>
      </c>
      <c r="C545" s="7">
        <v>16.6964</v>
      </c>
      <c r="D545" s="7">
        <v>16.2786</v>
      </c>
      <c r="E545" s="7">
        <v>17.8569</v>
      </c>
      <c r="F545" s="7">
        <v>18.9332</v>
      </c>
      <c r="G545" s="7">
        <v>25.0975</v>
      </c>
      <c r="H545" s="14">
        <v>17.6529</v>
      </c>
      <c r="I545" s="7">
        <v>17.588</v>
      </c>
      <c r="J545" s="7">
        <v>17.987</v>
      </c>
      <c r="K545" s="7"/>
      <c r="L545" s="7"/>
      <c r="M545" s="7">
        <v>18.2528</v>
      </c>
      <c r="N545" s="7">
        <v>17.2511</v>
      </c>
      <c r="O545" s="8">
        <v>13.863</v>
      </c>
      <c r="P545" s="7"/>
      <c r="Q545" s="7">
        <v>10.3079</v>
      </c>
      <c r="S545" s="8"/>
    </row>
    <row r="546" spans="1:19" s="12" customFormat="1" ht="16.5" customHeight="1" hidden="1">
      <c r="A546" s="3"/>
      <c r="B546" s="13" t="s">
        <v>85</v>
      </c>
      <c r="C546" s="7">
        <v>17.2272</v>
      </c>
      <c r="D546" s="7">
        <v>16.8123</v>
      </c>
      <c r="E546" s="7">
        <v>18.3333</v>
      </c>
      <c r="F546" s="7">
        <v>19.3558</v>
      </c>
      <c r="G546" s="7">
        <v>25.1771</v>
      </c>
      <c r="H546" s="14">
        <v>18.1307</v>
      </c>
      <c r="I546" s="7">
        <v>18.1526</v>
      </c>
      <c r="J546" s="7">
        <v>18.4472</v>
      </c>
      <c r="K546" s="7"/>
      <c r="L546" s="7"/>
      <c r="M546" s="7">
        <v>18.7137</v>
      </c>
      <c r="N546" s="7">
        <v>17.7135</v>
      </c>
      <c r="O546" s="8">
        <v>14.316</v>
      </c>
      <c r="P546" s="7"/>
      <c r="Q546" s="7">
        <v>10.3079</v>
      </c>
      <c r="S546" s="8"/>
    </row>
    <row r="547" spans="1:19" s="12" customFormat="1" ht="16.5" customHeight="1" hidden="1">
      <c r="A547" s="3"/>
      <c r="B547" s="13" t="s">
        <v>86</v>
      </c>
      <c r="C547" s="7">
        <v>17.5395</v>
      </c>
      <c r="D547" s="7">
        <v>17.1262</v>
      </c>
      <c r="E547" s="7">
        <v>18.6136</v>
      </c>
      <c r="F547" s="7">
        <v>19.6046</v>
      </c>
      <c r="G547" s="7">
        <v>25.2239</v>
      </c>
      <c r="H547" s="14">
        <v>18.4118</v>
      </c>
      <c r="I547" s="7">
        <v>18.2863</v>
      </c>
      <c r="J547" s="7">
        <v>18.5142</v>
      </c>
      <c r="K547" s="7"/>
      <c r="L547" s="7"/>
      <c r="M547" s="7">
        <v>18.7825</v>
      </c>
      <c r="N547" s="7">
        <v>17.7791</v>
      </c>
      <c r="O547" s="8">
        <v>14.2589</v>
      </c>
      <c r="P547" s="7"/>
      <c r="Q547" s="7">
        <v>10.3079</v>
      </c>
      <c r="S547" s="8"/>
    </row>
    <row r="548" spans="1:19" s="12" customFormat="1" ht="16.5" customHeight="1" hidden="1">
      <c r="A548" s="3"/>
      <c r="B548" s="13" t="s">
        <v>87</v>
      </c>
      <c r="C548" s="7">
        <v>17.3236</v>
      </c>
      <c r="D548" s="7">
        <v>16.9105</v>
      </c>
      <c r="E548" s="7">
        <v>18.4192</v>
      </c>
      <c r="F548" s="7">
        <v>19.4318</v>
      </c>
      <c r="G548" s="7">
        <v>25.1915</v>
      </c>
      <c r="H548" s="14">
        <v>18.2175</v>
      </c>
      <c r="I548" s="7">
        <v>18.1146</v>
      </c>
      <c r="J548" s="7">
        <v>18.3231</v>
      </c>
      <c r="K548" s="7"/>
      <c r="L548" s="7"/>
      <c r="M548" s="7">
        <v>18.6218</v>
      </c>
      <c r="N548" s="7">
        <v>17.5424</v>
      </c>
      <c r="O548" s="8">
        <v>14.1571</v>
      </c>
      <c r="P548" s="7"/>
      <c r="Q548" s="7">
        <v>10.3079</v>
      </c>
      <c r="S548" s="8"/>
    </row>
    <row r="549" spans="1:19" s="12" customFormat="1" ht="16.5" customHeight="1" hidden="1">
      <c r="A549" s="3"/>
      <c r="B549" s="13" t="s">
        <v>88</v>
      </c>
      <c r="C549" s="7">
        <v>17.3055</v>
      </c>
      <c r="D549" s="7">
        <v>16.8919</v>
      </c>
      <c r="E549" s="7">
        <v>18.4032</v>
      </c>
      <c r="F549" s="7">
        <v>19.4176</v>
      </c>
      <c r="G549" s="7">
        <v>25.1888</v>
      </c>
      <c r="H549" s="14">
        <v>18.2012</v>
      </c>
      <c r="I549" s="7">
        <v>18.05</v>
      </c>
      <c r="J549" s="7">
        <v>18.3746</v>
      </c>
      <c r="K549" s="7"/>
      <c r="L549" s="7"/>
      <c r="M549" s="7">
        <v>18.6941</v>
      </c>
      <c r="N549" s="7">
        <v>17.5622</v>
      </c>
      <c r="O549" s="8">
        <v>14.3418</v>
      </c>
      <c r="P549" s="7"/>
      <c r="Q549" s="7">
        <v>10.3079</v>
      </c>
      <c r="S549" s="8"/>
    </row>
    <row r="550" spans="1:19" s="12" customFormat="1" ht="16.5" customHeight="1" hidden="1">
      <c r="A550" s="3"/>
      <c r="B550" s="4" t="s">
        <v>13</v>
      </c>
      <c r="C550" s="11">
        <f>(C545*3+C546*7+C547*7+C548*7+C549*7)/31</f>
        <v>17.2858</v>
      </c>
      <c r="D550" s="11">
        <f aca="true" t="shared" si="73" ref="D550:Q550">(D545*3+D546*7+D547*7+D548*7+D549*7)/31</f>
        <v>16.87168064516129</v>
      </c>
      <c r="E550" s="11">
        <f t="shared" si="73"/>
        <v>18.385670967741937</v>
      </c>
      <c r="F550" s="11">
        <f t="shared" si="73"/>
        <v>19.4022</v>
      </c>
      <c r="G550" s="11">
        <f t="shared" si="73"/>
        <v>25.18585806451613</v>
      </c>
      <c r="H550" s="11">
        <f t="shared" si="73"/>
        <v>18.183454838709682</v>
      </c>
      <c r="I550" s="11">
        <f t="shared" si="73"/>
        <v>18.09640322580645</v>
      </c>
      <c r="J550" s="11">
        <f t="shared" si="73"/>
        <v>18.37337741935484</v>
      </c>
      <c r="K550" s="11"/>
      <c r="L550" s="11"/>
      <c r="M550" s="11">
        <f t="shared" si="73"/>
        <v>18.659454838709674</v>
      </c>
      <c r="N550" s="11">
        <f t="shared" si="73"/>
        <v>17.610764516129034</v>
      </c>
      <c r="O550" s="38">
        <f t="shared" si="73"/>
        <v>14.229212903225806</v>
      </c>
      <c r="P550" s="11"/>
      <c r="Q550" s="11">
        <f t="shared" si="73"/>
        <v>10.3079</v>
      </c>
      <c r="S550" s="8"/>
    </row>
    <row r="551" spans="1:19" s="12" customFormat="1" ht="16.5" customHeight="1" hidden="1">
      <c r="A551" s="3"/>
      <c r="B551" s="13" t="s">
        <v>89</v>
      </c>
      <c r="C551" s="7">
        <v>17.5668</v>
      </c>
      <c r="D551" s="7">
        <v>17.1557</v>
      </c>
      <c r="E551" s="7">
        <v>18.6303</v>
      </c>
      <c r="F551" s="7">
        <v>19.6111</v>
      </c>
      <c r="G551" s="7">
        <v>25.1685</v>
      </c>
      <c r="H551" s="14">
        <v>18.4295</v>
      </c>
      <c r="I551" s="7">
        <v>18.3221</v>
      </c>
      <c r="J551" s="7">
        <v>18.6254</v>
      </c>
      <c r="K551" s="7"/>
      <c r="L551" s="7"/>
      <c r="M551" s="7">
        <v>18.9764</v>
      </c>
      <c r="N551" s="7">
        <v>17.7682</v>
      </c>
      <c r="O551" s="8">
        <v>14.5504</v>
      </c>
      <c r="P551" s="7"/>
      <c r="Q551" s="7">
        <v>10.0196</v>
      </c>
      <c r="S551" s="8"/>
    </row>
    <row r="552" spans="1:19" s="12" customFormat="1" ht="16.5" customHeight="1" hidden="1">
      <c r="A552" s="3"/>
      <c r="B552" s="13" t="s">
        <v>90</v>
      </c>
      <c r="C552" s="7">
        <v>18.1446</v>
      </c>
      <c r="D552" s="7">
        <v>17.7338</v>
      </c>
      <c r="E552" s="7">
        <v>19.1501</v>
      </c>
      <c r="F552" s="7">
        <v>20.073</v>
      </c>
      <c r="G552" s="7">
        <v>25.2552</v>
      </c>
      <c r="H552" s="14">
        <v>18.9494</v>
      </c>
      <c r="I552" s="7">
        <v>19.1342</v>
      </c>
      <c r="J552" s="7">
        <v>19.4611</v>
      </c>
      <c r="K552" s="7"/>
      <c r="L552" s="7"/>
      <c r="M552" s="7">
        <v>19.8198</v>
      </c>
      <c r="N552" s="7">
        <v>18.5934</v>
      </c>
      <c r="O552" s="8">
        <v>15.0835</v>
      </c>
      <c r="P552" s="7"/>
      <c r="Q552" s="7">
        <v>10.0196</v>
      </c>
      <c r="S552" s="8"/>
    </row>
    <row r="553" spans="1:19" s="12" customFormat="1" ht="16.5" customHeight="1" hidden="1">
      <c r="A553" s="3"/>
      <c r="B553" s="13" t="s">
        <v>91</v>
      </c>
      <c r="C553" s="7">
        <v>17.9497</v>
      </c>
      <c r="D553" s="7">
        <v>17.5359</v>
      </c>
      <c r="E553" s="7">
        <v>18.9759</v>
      </c>
      <c r="F553" s="7">
        <v>19.919</v>
      </c>
      <c r="G553" s="7">
        <v>25.2259</v>
      </c>
      <c r="H553" s="14">
        <v>18.7738</v>
      </c>
      <c r="I553" s="7">
        <v>18.8686</v>
      </c>
      <c r="J553" s="7">
        <v>19.4238</v>
      </c>
      <c r="K553" s="7"/>
      <c r="L553" s="7"/>
      <c r="M553" s="7">
        <v>19.8462</v>
      </c>
      <c r="N553" s="7">
        <v>18.458</v>
      </c>
      <c r="O553" s="8">
        <v>14.8831</v>
      </c>
      <c r="P553" s="7"/>
      <c r="Q553" s="7">
        <v>10.0196</v>
      </c>
      <c r="S553" s="8"/>
    </row>
    <row r="554" spans="1:19" s="12" customFormat="1" ht="16.5" customHeight="1" hidden="1">
      <c r="A554" s="3"/>
      <c r="B554" s="13" t="s">
        <v>92</v>
      </c>
      <c r="C554" s="7">
        <v>17.974</v>
      </c>
      <c r="D554" s="7">
        <v>17.5582</v>
      </c>
      <c r="E554" s="7">
        <v>18.9987</v>
      </c>
      <c r="F554" s="7">
        <v>19.9397</v>
      </c>
      <c r="G554" s="7">
        <v>25.2296</v>
      </c>
      <c r="H554" s="14">
        <v>18.7955</v>
      </c>
      <c r="I554" s="7">
        <v>18.6842</v>
      </c>
      <c r="J554" s="7">
        <v>19.2207</v>
      </c>
      <c r="K554" s="7"/>
      <c r="L554" s="7"/>
      <c r="M554" s="7">
        <v>19.657</v>
      </c>
      <c r="N554" s="7">
        <v>18.2321</v>
      </c>
      <c r="O554" s="8">
        <v>14.6918</v>
      </c>
      <c r="P554" s="7"/>
      <c r="Q554" s="7">
        <v>10.0196</v>
      </c>
      <c r="S554" s="8"/>
    </row>
    <row r="555" spans="1:19" s="12" customFormat="1" ht="16.5" customHeight="1" hidden="1">
      <c r="A555" s="3"/>
      <c r="B555" s="13" t="s">
        <v>93</v>
      </c>
      <c r="C555" s="7">
        <v>18.3676</v>
      </c>
      <c r="D555" s="7">
        <v>17.9494</v>
      </c>
      <c r="E555" s="7">
        <v>19.3539</v>
      </c>
      <c r="F555" s="7">
        <v>20.256</v>
      </c>
      <c r="G555" s="7">
        <v>25.2886</v>
      </c>
      <c r="H555" s="14">
        <v>19.1495</v>
      </c>
      <c r="I555" s="7">
        <v>19.0625</v>
      </c>
      <c r="J555" s="7">
        <v>19.501</v>
      </c>
      <c r="K555" s="7"/>
      <c r="L555" s="7"/>
      <c r="M555" s="7">
        <v>19.9358</v>
      </c>
      <c r="N555" s="7">
        <v>18.5129</v>
      </c>
      <c r="O555" s="8">
        <v>15.011</v>
      </c>
      <c r="P555" s="7"/>
      <c r="Q555" s="7">
        <v>10.0196</v>
      </c>
      <c r="S555" s="8"/>
    </row>
    <row r="556" spans="1:19" s="12" customFormat="1" ht="16.5" customHeight="1" hidden="1">
      <c r="A556" s="3"/>
      <c r="B556" s="4" t="s">
        <v>13</v>
      </c>
      <c r="C556" s="11">
        <f>(C551*7+C552*7+C553*7+C554*7+C555*2)/30</f>
        <v>17.939363333333333</v>
      </c>
      <c r="D556" s="11">
        <f aca="true" t="shared" si="74" ref="D556:Q556">(D551*7+D552*7+D553*7+D554*7+D555*2)/30</f>
        <v>17.526133333333334</v>
      </c>
      <c r="E556" s="11">
        <f t="shared" si="74"/>
        <v>18.966426666666667</v>
      </c>
      <c r="F556" s="11">
        <f t="shared" si="74"/>
        <v>19.910386666666668</v>
      </c>
      <c r="G556" s="11">
        <f t="shared" si="74"/>
        <v>25.224386666666664</v>
      </c>
      <c r="H556" s="11">
        <f t="shared" si="74"/>
        <v>18.764546666666668</v>
      </c>
      <c r="I556" s="11">
        <f>(I551*7+I552*7+I553*7+I554*7+I555*2)/30</f>
        <v>18.772956666666666</v>
      </c>
      <c r="J556" s="11">
        <f t="shared" si="74"/>
        <v>19.203966666666663</v>
      </c>
      <c r="K556" s="11"/>
      <c r="L556" s="11"/>
      <c r="M556" s="11">
        <f t="shared" si="74"/>
        <v>19.598913333333332</v>
      </c>
      <c r="N556" s="11">
        <f>(N551*7+N552*7+N553*7+N554*7+N555*2)/30</f>
        <v>18.27959</v>
      </c>
      <c r="O556" s="38">
        <f t="shared" si="74"/>
        <v>14.816120000000002</v>
      </c>
      <c r="P556" s="11"/>
      <c r="Q556" s="11">
        <f t="shared" si="74"/>
        <v>10.0196</v>
      </c>
      <c r="S556" s="8"/>
    </row>
    <row r="557" spans="1:19" s="12" customFormat="1" ht="16.5" customHeight="1" hidden="1">
      <c r="A557" s="3"/>
      <c r="B557" s="13" t="s">
        <v>40</v>
      </c>
      <c r="C557" s="7">
        <v>18.8909</v>
      </c>
      <c r="D557" s="7">
        <v>18.4754</v>
      </c>
      <c r="E557" s="7">
        <v>19.8857</v>
      </c>
      <c r="F557" s="7">
        <v>20.7969</v>
      </c>
      <c r="G557" s="7">
        <v>25.8941</v>
      </c>
      <c r="H557" s="14">
        <v>19.6825</v>
      </c>
      <c r="I557" s="7">
        <v>19.23</v>
      </c>
      <c r="J557" s="7">
        <v>19.7251</v>
      </c>
      <c r="K557" s="7"/>
      <c r="L557" s="7"/>
      <c r="M557" s="7">
        <v>20.1881</v>
      </c>
      <c r="N557" s="7">
        <v>18.6974</v>
      </c>
      <c r="O557" s="8">
        <v>15.1465</v>
      </c>
      <c r="P557" s="7"/>
      <c r="Q557" s="7">
        <v>9.9909</v>
      </c>
      <c r="S557" s="8"/>
    </row>
    <row r="558" spans="1:19" s="12" customFormat="1" ht="16.5" customHeight="1" hidden="1">
      <c r="A558" s="3"/>
      <c r="B558" s="13" t="s">
        <v>94</v>
      </c>
      <c r="C558" s="7">
        <v>19.6116</v>
      </c>
      <c r="D558" s="7">
        <v>19.1955</v>
      </c>
      <c r="E558" s="7">
        <v>20.5344</v>
      </c>
      <c r="F558" s="7">
        <v>21.3737</v>
      </c>
      <c r="G558" s="7">
        <v>26.0022</v>
      </c>
      <c r="H558" s="14">
        <v>20.331</v>
      </c>
      <c r="I558" s="7">
        <v>19.8854</v>
      </c>
      <c r="J558" s="7">
        <v>20.4793</v>
      </c>
      <c r="K558" s="7"/>
      <c r="L558" s="7"/>
      <c r="M558" s="7">
        <v>20.9301</v>
      </c>
      <c r="N558" s="7">
        <v>19.4703</v>
      </c>
      <c r="O558" s="8">
        <v>15.2804</v>
      </c>
      <c r="P558" s="7"/>
      <c r="Q558" s="7">
        <v>9.9909</v>
      </c>
      <c r="S558" s="8"/>
    </row>
    <row r="559" spans="1:19" s="12" customFormat="1" ht="16.5" customHeight="1" hidden="1">
      <c r="A559" s="3"/>
      <c r="B559" s="13" t="s">
        <v>95</v>
      </c>
      <c r="C559" s="7">
        <v>19.593</v>
      </c>
      <c r="D559" s="7">
        <v>19.1765</v>
      </c>
      <c r="E559" s="7">
        <v>20.5179</v>
      </c>
      <c r="F559" s="7">
        <v>21.3591</v>
      </c>
      <c r="G559" s="7">
        <v>25.9995</v>
      </c>
      <c r="H559" s="14">
        <v>20.3142</v>
      </c>
      <c r="I559" s="7">
        <v>19.8908</v>
      </c>
      <c r="J559" s="7">
        <v>20.5259</v>
      </c>
      <c r="K559" s="7"/>
      <c r="L559" s="7"/>
      <c r="M559" s="7">
        <v>20.9972</v>
      </c>
      <c r="N559" s="7">
        <v>19.4859</v>
      </c>
      <c r="O559" s="8">
        <v>15.3181</v>
      </c>
      <c r="P559" s="7"/>
      <c r="Q559" s="7">
        <v>9.9909</v>
      </c>
      <c r="S559" s="8"/>
    </row>
    <row r="560" spans="1:19" s="12" customFormat="1" ht="16.5" customHeight="1" hidden="1">
      <c r="A560" s="3"/>
      <c r="B560" s="13" t="s">
        <v>96</v>
      </c>
      <c r="C560" s="7">
        <v>19.9839</v>
      </c>
      <c r="D560" s="7">
        <v>19.5661</v>
      </c>
      <c r="E560" s="7">
        <v>20.8701</v>
      </c>
      <c r="F560" s="7">
        <v>21.6724</v>
      </c>
      <c r="G560" s="7">
        <v>26.0581</v>
      </c>
      <c r="H560" s="14">
        <v>20.6658</v>
      </c>
      <c r="I560" s="7">
        <v>20.2217</v>
      </c>
      <c r="J560" s="7">
        <v>20.8129</v>
      </c>
      <c r="K560" s="7"/>
      <c r="L560" s="7"/>
      <c r="M560" s="7">
        <v>21.3061</v>
      </c>
      <c r="N560" s="7">
        <v>19.7393</v>
      </c>
      <c r="O560" s="8">
        <v>15.5373</v>
      </c>
      <c r="P560" s="7"/>
      <c r="Q560" s="7">
        <v>9.9909</v>
      </c>
      <c r="S560" s="8"/>
    </row>
    <row r="561" spans="1:19" s="12" customFormat="1" ht="16.5" customHeight="1" hidden="1">
      <c r="A561" s="3"/>
      <c r="B561" s="13" t="s">
        <v>97</v>
      </c>
      <c r="C561" s="7">
        <v>20.2298</v>
      </c>
      <c r="D561" s="7">
        <v>19.8121</v>
      </c>
      <c r="E561" s="7">
        <v>21.0914</v>
      </c>
      <c r="F561" s="7">
        <v>21.8692</v>
      </c>
      <c r="G561" s="7">
        <v>26.095</v>
      </c>
      <c r="H561" s="14">
        <v>20.8871</v>
      </c>
      <c r="I561" s="7">
        <v>20.4122</v>
      </c>
      <c r="J561" s="7">
        <v>21.093</v>
      </c>
      <c r="K561" s="7"/>
      <c r="L561" s="7"/>
      <c r="M561" s="7">
        <v>21.6146</v>
      </c>
      <c r="N561" s="7">
        <v>19.977</v>
      </c>
      <c r="O561" s="8">
        <v>15.5367</v>
      </c>
      <c r="P561" s="7"/>
      <c r="Q561" s="7">
        <v>9.9909</v>
      </c>
      <c r="S561" s="8"/>
    </row>
    <row r="562" spans="1:19" s="12" customFormat="1" ht="16.5" customHeight="1" hidden="1">
      <c r="A562" s="3"/>
      <c r="B562" s="4" t="s">
        <v>13</v>
      </c>
      <c r="C562" s="11">
        <f>(C557*5+C558*7+C559*7+C560*7+C561*5)/31</f>
        <v>19.674935483870968</v>
      </c>
      <c r="D562" s="11">
        <f aca="true" t="shared" si="75" ref="D562:Q562">(D557*5+D558*7+D559*7+D560*7+D561*5)/31</f>
        <v>19.2582</v>
      </c>
      <c r="E562" s="11">
        <f t="shared" si="75"/>
        <v>20.591687096774194</v>
      </c>
      <c r="F562" s="11">
        <f t="shared" si="75"/>
        <v>21.424738709677417</v>
      </c>
      <c r="G562" s="11">
        <f t="shared" si="75"/>
        <v>26.011745161290325</v>
      </c>
      <c r="H562" s="11">
        <f t="shared" si="75"/>
        <v>20.387903225806454</v>
      </c>
      <c r="I562" s="11">
        <f t="shared" si="75"/>
        <v>19.941816129032258</v>
      </c>
      <c r="J562" s="11">
        <f t="shared" si="75"/>
        <v>20.542490322580644</v>
      </c>
      <c r="K562" s="11"/>
      <c r="L562" s="11"/>
      <c r="M562" s="11">
        <f t="shared" si="75"/>
        <v>21.020880645161288</v>
      </c>
      <c r="N562" s="11">
        <f t="shared" si="75"/>
        <v>19.491629032258064</v>
      </c>
      <c r="O562" s="38">
        <f t="shared" si="75"/>
        <v>15.366664516129033</v>
      </c>
      <c r="P562" s="11"/>
      <c r="Q562" s="11">
        <f t="shared" si="75"/>
        <v>9.9909</v>
      </c>
      <c r="S562" s="8"/>
    </row>
    <row r="563" spans="1:19" s="12" customFormat="1" ht="16.5" customHeight="1" hidden="1">
      <c r="A563" s="20"/>
      <c r="B563" s="19">
        <v>2011</v>
      </c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39"/>
      <c r="P563" s="14"/>
      <c r="S563" s="15"/>
    </row>
    <row r="564" spans="1:19" s="12" customFormat="1" ht="16.5" customHeight="1" hidden="1">
      <c r="A564" s="3"/>
      <c r="B564" s="13" t="s">
        <v>212</v>
      </c>
      <c r="C564" s="7">
        <v>20.1747</v>
      </c>
      <c r="D564" s="7">
        <v>19.7541</v>
      </c>
      <c r="E564" s="7">
        <v>21.0884</v>
      </c>
      <c r="F564" s="7">
        <v>21.9184</v>
      </c>
      <c r="G564" s="7">
        <v>26.4862</v>
      </c>
      <c r="H564" s="14">
        <v>20.8811</v>
      </c>
      <c r="I564" s="7">
        <v>20.3252</v>
      </c>
      <c r="J564" s="7">
        <v>21.1341</v>
      </c>
      <c r="K564" s="7"/>
      <c r="L564" s="7"/>
      <c r="M564" s="7">
        <v>21.6548</v>
      </c>
      <c r="N564" s="7">
        <v>19.9841</v>
      </c>
      <c r="O564" s="8">
        <v>15.5388</v>
      </c>
      <c r="P564" s="7"/>
      <c r="Q564" s="7">
        <v>10.0692</v>
      </c>
      <c r="S564" s="8"/>
    </row>
    <row r="565" spans="1:19" s="12" customFormat="1" ht="16.5" customHeight="1" hidden="1">
      <c r="A565" s="3"/>
      <c r="B565" s="13" t="s">
        <v>98</v>
      </c>
      <c r="C565" s="7">
        <v>20.3534</v>
      </c>
      <c r="D565" s="7">
        <v>19.9316</v>
      </c>
      <c r="E565" s="7">
        <v>21.2497</v>
      </c>
      <c r="F565" s="7">
        <v>22.0621</v>
      </c>
      <c r="G565" s="7">
        <v>26.513</v>
      </c>
      <c r="H565" s="14">
        <v>21.0417</v>
      </c>
      <c r="I565" s="7">
        <v>20.5463</v>
      </c>
      <c r="J565" s="7">
        <v>21.3652</v>
      </c>
      <c r="K565" s="7"/>
      <c r="L565" s="7"/>
      <c r="M565" s="7">
        <v>21.94</v>
      </c>
      <c r="N565" s="7">
        <v>20.1333</v>
      </c>
      <c r="O565" s="8">
        <v>15.7241</v>
      </c>
      <c r="P565" s="7"/>
      <c r="Q565" s="7">
        <v>10.0692</v>
      </c>
      <c r="S565" s="8"/>
    </row>
    <row r="566" spans="1:19" s="12" customFormat="1" ht="16.5" customHeight="1" hidden="1">
      <c r="A566" s="3"/>
      <c r="B566" s="13" t="s">
        <v>99</v>
      </c>
      <c r="C566" s="7">
        <v>20.8314</v>
      </c>
      <c r="D566" s="7">
        <v>20.4051</v>
      </c>
      <c r="E566" s="7">
        <v>21.6818</v>
      </c>
      <c r="F566" s="7">
        <v>22.4473</v>
      </c>
      <c r="G566" s="7">
        <v>26.5847</v>
      </c>
      <c r="H566" s="14">
        <v>21.4715</v>
      </c>
      <c r="I566" s="7">
        <v>21.2838</v>
      </c>
      <c r="J566" s="7">
        <v>21.9801</v>
      </c>
      <c r="K566" s="7"/>
      <c r="L566" s="7"/>
      <c r="M566" s="7">
        <v>22.5745</v>
      </c>
      <c r="N566" s="7">
        <v>20.715</v>
      </c>
      <c r="O566" s="8">
        <v>16.1447</v>
      </c>
      <c r="P566" s="7"/>
      <c r="Q566" s="7">
        <v>10.0692</v>
      </c>
      <c r="S566" s="8"/>
    </row>
    <row r="567" spans="1:19" s="12" customFormat="1" ht="16.5" customHeight="1" hidden="1">
      <c r="A567" s="3"/>
      <c r="B567" s="13" t="s">
        <v>100</v>
      </c>
      <c r="C567" s="7">
        <v>21.1633</v>
      </c>
      <c r="D567" s="7">
        <v>20.7357</v>
      </c>
      <c r="E567" s="7">
        <v>21.9809</v>
      </c>
      <c r="F567" s="7">
        <v>22.7135</v>
      </c>
      <c r="G567" s="7">
        <v>26.6345</v>
      </c>
      <c r="H567" s="14">
        <v>21.77</v>
      </c>
      <c r="I567" s="7">
        <v>21.7704</v>
      </c>
      <c r="J567" s="7">
        <v>22.5426</v>
      </c>
      <c r="K567" s="7"/>
      <c r="L567" s="7"/>
      <c r="M567" s="7">
        <v>23.1829</v>
      </c>
      <c r="N567" s="7">
        <v>21.2079</v>
      </c>
      <c r="O567" s="8">
        <v>16.4612</v>
      </c>
      <c r="P567" s="7"/>
      <c r="Q567" s="7">
        <v>10.0692</v>
      </c>
      <c r="S567" s="8"/>
    </row>
    <row r="568" spans="1:19" s="12" customFormat="1" ht="16.5" customHeight="1" hidden="1">
      <c r="A568" s="3"/>
      <c r="B568" s="13" t="s">
        <v>102</v>
      </c>
      <c r="C568" s="7">
        <v>20.9766</v>
      </c>
      <c r="D568" s="7">
        <v>20.5451</v>
      </c>
      <c r="E568" s="7">
        <v>21.8144</v>
      </c>
      <c r="F568" s="7">
        <v>22.5665</v>
      </c>
      <c r="G568" s="7">
        <v>26.6065</v>
      </c>
      <c r="H568" s="14">
        <v>21.6017</v>
      </c>
      <c r="I568" s="7">
        <v>21.9868</v>
      </c>
      <c r="J568" s="7">
        <v>22.762</v>
      </c>
      <c r="K568" s="7"/>
      <c r="L568" s="7"/>
      <c r="M568" s="7">
        <v>23.4933</v>
      </c>
      <c r="N568" s="7">
        <v>21.2874</v>
      </c>
      <c r="O568" s="8">
        <v>16.5991</v>
      </c>
      <c r="P568" s="7"/>
      <c r="Q568" s="7">
        <v>10.0692</v>
      </c>
      <c r="S568" s="8"/>
    </row>
    <row r="569" spans="1:19" s="12" customFormat="1" ht="16.5" customHeight="1" hidden="1">
      <c r="A569" s="3"/>
      <c r="B569" s="13" t="s">
        <v>104</v>
      </c>
      <c r="C569" s="7">
        <v>20.9922</v>
      </c>
      <c r="D569" s="7">
        <v>20.5588</v>
      </c>
      <c r="E569" s="7">
        <v>21.8293</v>
      </c>
      <c r="F569" s="7">
        <v>22.5803</v>
      </c>
      <c r="G569" s="7">
        <v>26.6088</v>
      </c>
      <c r="H569" s="14">
        <v>21.6156</v>
      </c>
      <c r="I569" s="7">
        <v>22.1876</v>
      </c>
      <c r="J569" s="7">
        <v>23.2339</v>
      </c>
      <c r="K569" s="7"/>
      <c r="L569" s="7"/>
      <c r="M569" s="7">
        <v>24.1447</v>
      </c>
      <c r="N569" s="7">
        <v>21.4882</v>
      </c>
      <c r="O569" s="8">
        <v>16.7973</v>
      </c>
      <c r="P569" s="7"/>
      <c r="Q569" s="7">
        <v>10.0692</v>
      </c>
      <c r="S569" s="8"/>
    </row>
    <row r="570" spans="1:19" s="12" customFormat="1" ht="16.5" customHeight="1" hidden="1">
      <c r="A570" s="3"/>
      <c r="B570" s="4" t="s">
        <v>13</v>
      </c>
      <c r="C570" s="11">
        <f>(C564*2+C565*7+C566*7+C567*7+C568*7+C569*1)/31</f>
        <v>20.794016129032258</v>
      </c>
      <c r="D570" s="11">
        <f aca="true" t="shared" si="76" ref="D570:Q570">(D564*2+D565*7+D566*7+D567*7+D568*7+D569*1)/31</f>
        <v>20.367403225806452</v>
      </c>
      <c r="E570" s="11">
        <f t="shared" si="76"/>
        <v>21.648183870967742</v>
      </c>
      <c r="F570" s="11">
        <f t="shared" si="76"/>
        <v>22.417512903225806</v>
      </c>
      <c r="G570" s="11">
        <f t="shared" si="76"/>
        <v>26.5791</v>
      </c>
      <c r="H570" s="11">
        <f t="shared" si="76"/>
        <v>21.437809677419356</v>
      </c>
      <c r="I570" s="11">
        <f t="shared" si="76"/>
        <v>21.353196774193545</v>
      </c>
      <c r="J570" s="11">
        <f t="shared" si="76"/>
        <v>22.130690322580644</v>
      </c>
      <c r="K570" s="11"/>
      <c r="L570" s="11"/>
      <c r="M570" s="11">
        <f t="shared" si="76"/>
        <v>22.7673935483871</v>
      </c>
      <c r="N570" s="11">
        <f t="shared" si="76"/>
        <v>20.80198709677419</v>
      </c>
      <c r="O570" s="38">
        <f t="shared" si="76"/>
        <v>16.20576129032258</v>
      </c>
      <c r="P570" s="11"/>
      <c r="Q570" s="11">
        <f t="shared" si="76"/>
        <v>10.069200000000002</v>
      </c>
      <c r="S570" s="8"/>
    </row>
    <row r="571" spans="1:19" s="12" customFormat="1" ht="16.5" customHeight="1" hidden="1">
      <c r="A571" s="3"/>
      <c r="B571" s="13" t="s">
        <v>221</v>
      </c>
      <c r="C571" s="7">
        <v>21.5703</v>
      </c>
      <c r="D571" s="7">
        <v>21.139</v>
      </c>
      <c r="E571" s="7">
        <v>22.2617</v>
      </c>
      <c r="F571" s="7">
        <v>22.8673</v>
      </c>
      <c r="G571" s="7">
        <v>25.956</v>
      </c>
      <c r="H571" s="14">
        <v>22.0489</v>
      </c>
      <c r="I571" s="7">
        <v>22.7672</v>
      </c>
      <c r="J571" s="7">
        <v>23.6428</v>
      </c>
      <c r="K571" s="7"/>
      <c r="L571" s="7"/>
      <c r="M571" s="7">
        <v>24.5453</v>
      </c>
      <c r="N571" s="7">
        <v>21.895</v>
      </c>
      <c r="O571" s="8">
        <v>17.5262</v>
      </c>
      <c r="P571" s="7"/>
      <c r="Q571" s="7">
        <v>10.2217</v>
      </c>
      <c r="S571" s="8"/>
    </row>
    <row r="572" spans="1:19" s="12" customFormat="1" ht="16.5" customHeight="1" hidden="1">
      <c r="A572" s="3"/>
      <c r="B572" s="13" t="s">
        <v>342</v>
      </c>
      <c r="C572" s="7">
        <v>21.447</v>
      </c>
      <c r="D572" s="7">
        <v>21.0167</v>
      </c>
      <c r="E572" s="7">
        <v>22.1503</v>
      </c>
      <c r="F572" s="7">
        <v>22.7681</v>
      </c>
      <c r="G572" s="7">
        <v>25.9376</v>
      </c>
      <c r="H572" s="14">
        <v>21.9381</v>
      </c>
      <c r="I572" s="7">
        <v>23.0209</v>
      </c>
      <c r="J572" s="7">
        <v>24.0839</v>
      </c>
      <c r="K572" s="7"/>
      <c r="L572" s="7"/>
      <c r="M572" s="7">
        <v>25.0587</v>
      </c>
      <c r="N572" s="7">
        <v>22.2288</v>
      </c>
      <c r="O572" s="8">
        <v>18.0378</v>
      </c>
      <c r="P572" s="7"/>
      <c r="Q572" s="7">
        <v>10.2217</v>
      </c>
      <c r="S572" s="8"/>
    </row>
    <row r="573" spans="1:19" s="12" customFormat="1" ht="16.5" customHeight="1" hidden="1">
      <c r="A573" s="3"/>
      <c r="B573" s="13" t="s">
        <v>343</v>
      </c>
      <c r="C573" s="7">
        <v>21.5348</v>
      </c>
      <c r="D573" s="7">
        <v>21.106</v>
      </c>
      <c r="E573" s="7">
        <v>22.2286</v>
      </c>
      <c r="F573" s="7">
        <v>22.8373</v>
      </c>
      <c r="G573" s="7">
        <v>25.9507</v>
      </c>
      <c r="H573" s="14">
        <v>22.0171</v>
      </c>
      <c r="I573" s="7">
        <v>23.2284</v>
      </c>
      <c r="J573" s="7">
        <v>23.9057</v>
      </c>
      <c r="K573" s="7"/>
      <c r="L573" s="7"/>
      <c r="M573" s="7">
        <v>24.5747</v>
      </c>
      <c r="N573" s="7">
        <v>22.511</v>
      </c>
      <c r="O573" s="8">
        <v>18.4304</v>
      </c>
      <c r="P573" s="7"/>
      <c r="Q573" s="7">
        <v>10.2217</v>
      </c>
      <c r="S573" s="8"/>
    </row>
    <row r="574" spans="1:19" s="12" customFormat="1" ht="16.5" customHeight="1" hidden="1">
      <c r="A574" s="3"/>
      <c r="B574" s="13" t="s">
        <v>344</v>
      </c>
      <c r="C574" s="7">
        <v>22.7415</v>
      </c>
      <c r="D574" s="7">
        <v>22.3129</v>
      </c>
      <c r="E574" s="7">
        <v>23.3144</v>
      </c>
      <c r="F574" s="7">
        <v>23.8022</v>
      </c>
      <c r="G574" s="7">
        <v>26.1317</v>
      </c>
      <c r="H574" s="14">
        <v>23.1027</v>
      </c>
      <c r="I574" s="7">
        <v>24.3577</v>
      </c>
      <c r="J574" s="7">
        <v>24.7033</v>
      </c>
      <c r="K574" s="7"/>
      <c r="L574" s="7"/>
      <c r="M574" s="7">
        <v>25.2694</v>
      </c>
      <c r="N574" s="7">
        <v>23.4642</v>
      </c>
      <c r="O574" s="8">
        <v>19.1364</v>
      </c>
      <c r="P574" s="7"/>
      <c r="Q574" s="7">
        <v>10.2217</v>
      </c>
      <c r="S574" s="8"/>
    </row>
    <row r="575" spans="1:19" s="12" customFormat="1" ht="16.5" customHeight="1" hidden="1">
      <c r="A575" s="3"/>
      <c r="B575" s="13" t="s">
        <v>345</v>
      </c>
      <c r="C575" s="7">
        <v>23.5763</v>
      </c>
      <c r="D575" s="7">
        <v>23.1473</v>
      </c>
      <c r="E575" s="7">
        <v>24.0658</v>
      </c>
      <c r="F575" s="7">
        <v>24.4701</v>
      </c>
      <c r="G575" s="7">
        <v>26.2569</v>
      </c>
      <c r="H575" s="14">
        <v>23.8538</v>
      </c>
      <c r="I575" s="7">
        <v>25.1063</v>
      </c>
      <c r="J575" s="7">
        <v>25.449</v>
      </c>
      <c r="K575" s="7"/>
      <c r="L575" s="7"/>
      <c r="M575" s="7">
        <v>25.9789</v>
      </c>
      <c r="N575" s="7">
        <v>24.2646</v>
      </c>
      <c r="O575" s="8">
        <v>19.652</v>
      </c>
      <c r="P575" s="7"/>
      <c r="Q575" s="7">
        <v>10.2217</v>
      </c>
      <c r="S575" s="8"/>
    </row>
    <row r="576" spans="1:19" s="12" customFormat="1" ht="16.5" customHeight="1" hidden="1">
      <c r="A576" s="3"/>
      <c r="B576" s="4" t="s">
        <v>13</v>
      </c>
      <c r="C576" s="11">
        <f>(C571*6+C572*7+C573*7+C574*7+C575*1)/28</f>
        <v>21.89504285714285</v>
      </c>
      <c r="D576" s="11">
        <f aca="true" t="shared" si="77" ref="D576:Q576">(D571*6+D572*7+D573*7+D574*7+D575*1)/28</f>
        <v>21.465374999999998</v>
      </c>
      <c r="E576" s="11">
        <f>(E571*6+E572*7+E573*7+E574*7+E575*1)/28</f>
        <v>22.55318214285714</v>
      </c>
      <c r="F576" s="11">
        <f>(F571*6+F572*7+F573*7+F574*7+F575*1)/28</f>
        <v>23.125967857142857</v>
      </c>
      <c r="G576" s="11">
        <f t="shared" si="77"/>
        <v>26.004746428571426</v>
      </c>
      <c r="H576" s="11">
        <f t="shared" si="77"/>
        <v>22.34116071428571</v>
      </c>
      <c r="I576" s="11">
        <f t="shared" si="77"/>
        <v>23.42708928571429</v>
      </c>
      <c r="J576" s="11">
        <f t="shared" si="77"/>
        <v>24.148432142857143</v>
      </c>
      <c r="K576" s="11"/>
      <c r="L576" s="11"/>
      <c r="M576" s="11">
        <f t="shared" si="77"/>
        <v>24.913225</v>
      </c>
      <c r="N576" s="11">
        <f t="shared" si="77"/>
        <v>22.60937857142857</v>
      </c>
      <c r="O576" s="38">
        <f t="shared" si="77"/>
        <v>18.35862142857143</v>
      </c>
      <c r="P576" s="11"/>
      <c r="Q576" s="11">
        <f t="shared" si="77"/>
        <v>10.2217</v>
      </c>
      <c r="S576" s="8"/>
    </row>
    <row r="577" spans="1:19" s="12" customFormat="1" ht="16.5" customHeight="1" hidden="1">
      <c r="A577" s="3"/>
      <c r="B577" s="13" t="s">
        <v>54</v>
      </c>
      <c r="C577" s="7">
        <v>23.5416</v>
      </c>
      <c r="D577" s="7">
        <v>23.1102</v>
      </c>
      <c r="E577" s="7">
        <v>24.048</v>
      </c>
      <c r="F577" s="7">
        <v>24.4695</v>
      </c>
      <c r="G577" s="7">
        <v>26.3707</v>
      </c>
      <c r="H577" s="14">
        <v>23.8333</v>
      </c>
      <c r="I577" s="7">
        <v>25.3428</v>
      </c>
      <c r="J577" s="7">
        <v>25.4854</v>
      </c>
      <c r="K577" s="7"/>
      <c r="L577" s="7"/>
      <c r="M577" s="7">
        <v>26.271</v>
      </c>
      <c r="N577" s="7">
        <v>24.5699</v>
      </c>
      <c r="O577" s="8">
        <v>19.3343</v>
      </c>
      <c r="P577" s="7"/>
      <c r="Q577" s="7">
        <v>10.2679</v>
      </c>
      <c r="S577" s="8"/>
    </row>
    <row r="578" spans="1:19" s="12" customFormat="1" ht="16.5" customHeight="1" hidden="1">
      <c r="A578" s="3"/>
      <c r="B578" s="13" t="s">
        <v>111</v>
      </c>
      <c r="C578" s="7">
        <v>23.7305</v>
      </c>
      <c r="D578" s="7">
        <v>23.3008</v>
      </c>
      <c r="E578" s="7">
        <v>24.2173</v>
      </c>
      <c r="F578" s="7">
        <v>24.6196</v>
      </c>
      <c r="G578" s="7">
        <v>26.3991</v>
      </c>
      <c r="H578" s="14">
        <v>24.0034</v>
      </c>
      <c r="I578" s="7">
        <v>25.5267</v>
      </c>
      <c r="J578" s="7">
        <v>25.7068</v>
      </c>
      <c r="K578" s="7"/>
      <c r="L578" s="7"/>
      <c r="M578" s="7">
        <v>26.3308</v>
      </c>
      <c r="N578" s="7">
        <v>24.901</v>
      </c>
      <c r="O578" s="8">
        <v>19.2797</v>
      </c>
      <c r="P578" s="7"/>
      <c r="Q578" s="7">
        <v>10.2679</v>
      </c>
      <c r="S578" s="8"/>
    </row>
    <row r="579" spans="1:19" s="12" customFormat="1" ht="16.5" customHeight="1" hidden="1">
      <c r="A579" s="3"/>
      <c r="B579" s="13" t="s">
        <v>112</v>
      </c>
      <c r="C579" s="7">
        <v>23.0649</v>
      </c>
      <c r="D579" s="7">
        <v>22.636</v>
      </c>
      <c r="E579" s="7">
        <v>23.6181</v>
      </c>
      <c r="F579" s="7">
        <v>24.0868</v>
      </c>
      <c r="G579" s="7">
        <v>26.2992</v>
      </c>
      <c r="H579" s="14">
        <v>23.4046</v>
      </c>
      <c r="I579" s="7">
        <v>25.4884</v>
      </c>
      <c r="J579" s="7">
        <v>25.6334</v>
      </c>
      <c r="K579" s="7"/>
      <c r="L579" s="7"/>
      <c r="M579" s="7">
        <v>26.1831</v>
      </c>
      <c r="N579" s="7">
        <v>24.8776</v>
      </c>
      <c r="O579" s="8">
        <v>19.3303</v>
      </c>
      <c r="P579" s="7"/>
      <c r="Q579" s="7">
        <v>10.2679</v>
      </c>
      <c r="S579" s="8"/>
    </row>
    <row r="580" spans="1:19" s="12" customFormat="1" ht="16.5" customHeight="1" hidden="1">
      <c r="A580" s="3"/>
      <c r="B580" s="13" t="s">
        <v>113</v>
      </c>
      <c r="C580" s="7">
        <v>23.5435</v>
      </c>
      <c r="D580" s="7">
        <v>23.1155</v>
      </c>
      <c r="E580" s="7">
        <v>24.0482</v>
      </c>
      <c r="F580" s="7">
        <v>24.4689</v>
      </c>
      <c r="G580" s="7">
        <v>26.371</v>
      </c>
      <c r="H580" s="14">
        <v>23.8352</v>
      </c>
      <c r="I580" s="7">
        <v>25.8378</v>
      </c>
      <c r="J580" s="7">
        <v>25.9134</v>
      </c>
      <c r="K580" s="7"/>
      <c r="L580" s="7"/>
      <c r="M580" s="7">
        <v>26.2531</v>
      </c>
      <c r="N580" s="7">
        <v>25.299</v>
      </c>
      <c r="O580" s="8">
        <v>19.3516</v>
      </c>
      <c r="P580" s="7"/>
      <c r="Q580" s="7">
        <v>10.2679</v>
      </c>
      <c r="S580" s="8"/>
    </row>
    <row r="581" spans="1:19" s="12" customFormat="1" ht="16.5" customHeight="1" hidden="1">
      <c r="A581" s="3"/>
      <c r="B581" s="13" t="s">
        <v>114</v>
      </c>
      <c r="C581" s="7">
        <v>23.6206</v>
      </c>
      <c r="D581" s="7">
        <v>23.1919</v>
      </c>
      <c r="E581" s="7">
        <v>24.118</v>
      </c>
      <c r="F581" s="7">
        <v>24.5311</v>
      </c>
      <c r="G581" s="7">
        <v>26.3826</v>
      </c>
      <c r="H581" s="14">
        <v>23.9046</v>
      </c>
      <c r="I581" s="7">
        <v>25.7458</v>
      </c>
      <c r="J581" s="7">
        <v>25.7572</v>
      </c>
      <c r="K581" s="7"/>
      <c r="L581" s="7"/>
      <c r="M581" s="7">
        <v>26.0597</v>
      </c>
      <c r="N581" s="7">
        <v>25.1668</v>
      </c>
      <c r="O581" s="8">
        <v>19.4673</v>
      </c>
      <c r="P581" s="7"/>
      <c r="Q581" s="7">
        <v>10.2679</v>
      </c>
      <c r="S581" s="8"/>
    </row>
    <row r="582" spans="1:19" s="12" customFormat="1" ht="16.5" customHeight="1" hidden="1">
      <c r="A582" s="3"/>
      <c r="B582" s="4" t="s">
        <v>13</v>
      </c>
      <c r="C582" s="11">
        <f>(C577*6+C578*7+C579*7+C580*7+C581*4)/31</f>
        <v>23.487235483870972</v>
      </c>
      <c r="D582" s="11">
        <f aca="true" t="shared" si="78" ref="D582:Q582">(D577*6+D578*7+D579*7+D580*7+D581*4)/31</f>
        <v>23.0579</v>
      </c>
      <c r="E582" s="11">
        <f t="shared" si="78"/>
        <v>23.998232258064515</v>
      </c>
      <c r="F582" s="11">
        <f t="shared" si="78"/>
        <v>24.424790322580648</v>
      </c>
      <c r="G582" s="11">
        <f t="shared" si="78"/>
        <v>26.362570967741934</v>
      </c>
      <c r="H582" s="11">
        <f t="shared" si="78"/>
        <v>23.784535483870965</v>
      </c>
      <c r="I582" s="11">
        <f t="shared" si="78"/>
        <v>25.58097741935484</v>
      </c>
      <c r="J582" s="11">
        <f t="shared" si="78"/>
        <v>25.700529032258064</v>
      </c>
      <c r="K582" s="11"/>
      <c r="L582" s="11"/>
      <c r="M582" s="11">
        <f t="shared" si="78"/>
        <v>26.233348387096772</v>
      </c>
      <c r="N582" s="11">
        <f t="shared" si="78"/>
        <v>24.955799999999996</v>
      </c>
      <c r="O582" s="38">
        <f t="shared" si="78"/>
        <v>19.34213548387097</v>
      </c>
      <c r="P582" s="11"/>
      <c r="Q582" s="11">
        <f t="shared" si="78"/>
        <v>10.2679</v>
      </c>
      <c r="S582" s="8"/>
    </row>
    <row r="583" spans="1:19" s="12" customFormat="1" ht="16.5" customHeight="1" hidden="1">
      <c r="A583" s="3"/>
      <c r="B583" s="13" t="s">
        <v>226</v>
      </c>
      <c r="C583" s="7">
        <v>23.89</v>
      </c>
      <c r="D583" s="7">
        <v>23.4616</v>
      </c>
      <c r="E583" s="7">
        <v>24.0142</v>
      </c>
      <c r="F583" s="7">
        <v>24.0543</v>
      </c>
      <c r="G583" s="7">
        <v>23.482</v>
      </c>
      <c r="H583" s="14">
        <v>23.8009</v>
      </c>
      <c r="I583" s="7">
        <v>25.8546</v>
      </c>
      <c r="J583" s="7">
        <v>25.945</v>
      </c>
      <c r="K583" s="7"/>
      <c r="L583" s="7"/>
      <c r="M583" s="7">
        <v>26.2418</v>
      </c>
      <c r="N583" s="7">
        <v>25.3439</v>
      </c>
      <c r="O583" s="8">
        <v>19.6505</v>
      </c>
      <c r="P583" s="7"/>
      <c r="Q583" s="7">
        <v>10.1523</v>
      </c>
      <c r="S583" s="8"/>
    </row>
    <row r="584" spans="1:19" s="12" customFormat="1" ht="16.5" customHeight="1" hidden="1">
      <c r="A584" s="3"/>
      <c r="B584" s="13" t="s">
        <v>115</v>
      </c>
      <c r="C584" s="7">
        <v>24.492</v>
      </c>
      <c r="D584" s="7">
        <v>24.0655</v>
      </c>
      <c r="E584" s="7">
        <v>24.5552</v>
      </c>
      <c r="F584" s="7">
        <v>24.5345</v>
      </c>
      <c r="G584" s="7">
        <v>23.5723</v>
      </c>
      <c r="H584" s="14">
        <v>24.3426</v>
      </c>
      <c r="I584" s="7">
        <v>26.4971</v>
      </c>
      <c r="J584" s="7">
        <v>26.6627</v>
      </c>
      <c r="K584" s="7"/>
      <c r="L584" s="7"/>
      <c r="M584" s="7">
        <v>26.906</v>
      </c>
      <c r="N584" s="7">
        <v>26.0999</v>
      </c>
      <c r="O584" s="8">
        <v>20.2309</v>
      </c>
      <c r="P584" s="7"/>
      <c r="Q584" s="7">
        <v>10.1523</v>
      </c>
      <c r="S584" s="8"/>
    </row>
    <row r="585" spans="1:19" s="12" customFormat="1" ht="16.5" customHeight="1" hidden="1">
      <c r="A585" s="3"/>
      <c r="B585" s="13" t="s">
        <v>116</v>
      </c>
      <c r="C585" s="7">
        <v>24.9122</v>
      </c>
      <c r="D585" s="7">
        <v>24.4852</v>
      </c>
      <c r="E585" s="7">
        <v>24.9334</v>
      </c>
      <c r="F585" s="7">
        <v>24.8708</v>
      </c>
      <c r="G585" s="7">
        <v>23.6353</v>
      </c>
      <c r="H585" s="14">
        <v>24.7206</v>
      </c>
      <c r="I585" s="7">
        <v>26.8779</v>
      </c>
      <c r="J585" s="7">
        <v>26.984</v>
      </c>
      <c r="K585" s="7"/>
      <c r="L585" s="7"/>
      <c r="M585" s="7">
        <v>27.2058</v>
      </c>
      <c r="N585" s="7">
        <v>26.4355</v>
      </c>
      <c r="O585" s="8">
        <v>20.4644</v>
      </c>
      <c r="P585" s="7"/>
      <c r="Q585" s="7">
        <v>10.1523</v>
      </c>
      <c r="S585" s="8"/>
    </row>
    <row r="586" spans="1:19" s="12" customFormat="1" ht="16.5" customHeight="1" hidden="1">
      <c r="A586" s="3"/>
      <c r="B586" s="13" t="s">
        <v>117</v>
      </c>
      <c r="C586" s="7">
        <v>24.7835</v>
      </c>
      <c r="D586" s="7">
        <v>24.3584</v>
      </c>
      <c r="E586" s="7">
        <v>24.8168</v>
      </c>
      <c r="F586" s="7">
        <v>24.7668</v>
      </c>
      <c r="G586" s="7">
        <v>23.616</v>
      </c>
      <c r="H586" s="14">
        <v>24.605</v>
      </c>
      <c r="I586" s="7">
        <v>26.5072</v>
      </c>
      <c r="J586" s="7">
        <v>26.6922</v>
      </c>
      <c r="K586" s="7"/>
      <c r="L586" s="7"/>
      <c r="M586" s="7">
        <v>27.0598</v>
      </c>
      <c r="N586" s="7">
        <v>26.0481</v>
      </c>
      <c r="O586" s="8">
        <v>20.1257</v>
      </c>
      <c r="P586" s="7"/>
      <c r="Q586" s="7">
        <v>10.1523</v>
      </c>
      <c r="S586" s="8"/>
    </row>
    <row r="587" spans="1:19" s="12" customFormat="1" ht="16.5" customHeight="1" hidden="1">
      <c r="A587" s="3"/>
      <c r="B587" s="13" t="s">
        <v>119</v>
      </c>
      <c r="C587" s="7">
        <v>25.5172</v>
      </c>
      <c r="D587" s="7">
        <v>25.0931</v>
      </c>
      <c r="E587" s="7">
        <v>25.4767</v>
      </c>
      <c r="F587" s="7">
        <v>25.353</v>
      </c>
      <c r="G587" s="7">
        <v>23.7261</v>
      </c>
      <c r="H587" s="14">
        <v>25.2652</v>
      </c>
      <c r="I587" s="7">
        <v>26.4475</v>
      </c>
      <c r="J587" s="7">
        <v>26.7413</v>
      </c>
      <c r="K587" s="7"/>
      <c r="L587" s="7"/>
      <c r="M587" s="7">
        <v>27.1144</v>
      </c>
      <c r="N587" s="7">
        <v>26.0948</v>
      </c>
      <c r="O587" s="8">
        <v>20.19</v>
      </c>
      <c r="P587" s="7"/>
      <c r="Q587" s="7">
        <v>10.1523</v>
      </c>
      <c r="S587" s="8"/>
    </row>
    <row r="588" spans="1:19" s="12" customFormat="1" ht="16.5" customHeight="1" hidden="1">
      <c r="A588" s="3"/>
      <c r="B588" s="4" t="s">
        <v>13</v>
      </c>
      <c r="C588" s="11">
        <f>(C583*3+C584*7+C585*7+C586*7+C587*6)/30</f>
        <v>24.802903333333337</v>
      </c>
      <c r="D588" s="11">
        <f>(D583*3+D584*7+D585*7+D586*7+D587*6)/30</f>
        <v>24.376903333333335</v>
      </c>
      <c r="E588" s="11">
        <f aca="true" t="shared" si="79" ref="E588:Q588">(E583*3+E584*7+E585*7+E586*7+E587*6)/30</f>
        <v>24.834686666666666</v>
      </c>
      <c r="F588" s="11">
        <f t="shared" si="79"/>
        <v>24.782853333333332</v>
      </c>
      <c r="G588" s="11">
        <f t="shared" si="79"/>
        <v>23.618926666666663</v>
      </c>
      <c r="H588" s="11">
        <f t="shared" si="79"/>
        <v>24.622376666666664</v>
      </c>
      <c r="I588" s="11">
        <f t="shared" si="79"/>
        <v>26.514139999999998</v>
      </c>
      <c r="J588" s="11">
        <f t="shared" si="79"/>
        <v>26.688503333333337</v>
      </c>
      <c r="K588" s="11"/>
      <c r="L588" s="11"/>
      <c r="M588" s="11">
        <f>(M583*3+M584*7+M585*7+M586*7+M587*6)/30</f>
        <v>26.9871</v>
      </c>
      <c r="N588" s="11">
        <f t="shared" si="79"/>
        <v>26.089499999999997</v>
      </c>
      <c r="O588" s="38">
        <f t="shared" si="79"/>
        <v>20.194616666666665</v>
      </c>
      <c r="P588" s="11"/>
      <c r="Q588" s="11">
        <f t="shared" si="79"/>
        <v>10.1523</v>
      </c>
      <c r="S588" s="8"/>
    </row>
    <row r="589" spans="1:19" s="12" customFormat="1" ht="16.5" customHeight="1" hidden="1">
      <c r="A589" s="3"/>
      <c r="B589" s="13" t="s">
        <v>230</v>
      </c>
      <c r="C589" s="7">
        <v>26.0587</v>
      </c>
      <c r="D589" s="7">
        <v>25.634</v>
      </c>
      <c r="E589" s="7">
        <v>26.0472</v>
      </c>
      <c r="F589" s="7">
        <v>25.9523</v>
      </c>
      <c r="G589" s="7">
        <v>24.5128</v>
      </c>
      <c r="H589" s="14">
        <v>25.8353</v>
      </c>
      <c r="I589" s="7">
        <v>26.8515</v>
      </c>
      <c r="J589" s="7">
        <v>26.9925</v>
      </c>
      <c r="K589" s="7"/>
      <c r="L589" s="7"/>
      <c r="M589" s="7"/>
      <c r="N589" s="7">
        <v>26.2253</v>
      </c>
      <c r="O589" s="8">
        <v>20.2351</v>
      </c>
      <c r="P589" s="7"/>
      <c r="Q589" s="7">
        <v>10.0477</v>
      </c>
      <c r="S589" s="8"/>
    </row>
    <row r="590" spans="1:19" s="12" customFormat="1" ht="16.5" customHeight="1" hidden="1">
      <c r="A590" s="3"/>
      <c r="B590" s="13" t="s">
        <v>121</v>
      </c>
      <c r="C590" s="7">
        <v>25.9626</v>
      </c>
      <c r="D590" s="7">
        <v>25.537</v>
      </c>
      <c r="E590" s="7">
        <v>25.9611</v>
      </c>
      <c r="F590" s="7">
        <v>25.8761</v>
      </c>
      <c r="G590" s="7">
        <v>24.4984</v>
      </c>
      <c r="H590" s="14">
        <v>25.7488</v>
      </c>
      <c r="I590" s="7">
        <v>26.292</v>
      </c>
      <c r="J590" s="7">
        <v>26.5014</v>
      </c>
      <c r="K590" s="7"/>
      <c r="L590" s="7"/>
      <c r="M590" s="7"/>
      <c r="N590" s="7">
        <v>25.7413</v>
      </c>
      <c r="O590" s="8">
        <v>20.0261</v>
      </c>
      <c r="P590" s="7"/>
      <c r="Q590" s="7">
        <v>10.0477</v>
      </c>
      <c r="S590" s="8"/>
    </row>
    <row r="591" spans="1:19" s="12" customFormat="1" ht="16.5" customHeight="1" hidden="1">
      <c r="A591" s="3"/>
      <c r="B591" s="13" t="s">
        <v>123</v>
      </c>
      <c r="C591" s="7">
        <v>24.5748</v>
      </c>
      <c r="D591" s="7">
        <v>24.1475</v>
      </c>
      <c r="E591" s="7">
        <v>24.713</v>
      </c>
      <c r="F591" s="7">
        <v>24.7672</v>
      </c>
      <c r="G591" s="7">
        <v>24.2902</v>
      </c>
      <c r="H591" s="14">
        <v>24.5001</v>
      </c>
      <c r="I591" s="7">
        <v>24.4584</v>
      </c>
      <c r="J591" s="7">
        <v>24.7348</v>
      </c>
      <c r="K591" s="7"/>
      <c r="L591" s="7"/>
      <c r="M591" s="7"/>
      <c r="N591" s="7">
        <v>23.9161</v>
      </c>
      <c r="O591" s="8">
        <v>19.1065</v>
      </c>
      <c r="P591" s="7"/>
      <c r="Q591" s="7">
        <v>10.0477</v>
      </c>
      <c r="S591" s="8"/>
    </row>
    <row r="592" spans="1:19" s="12" customFormat="1" ht="16.5" customHeight="1" hidden="1">
      <c r="A592" s="3"/>
      <c r="B592" s="13" t="s">
        <v>125</v>
      </c>
      <c r="C592" s="7">
        <v>23.3491</v>
      </c>
      <c r="D592" s="7">
        <v>22.9215</v>
      </c>
      <c r="E592" s="7">
        <v>23.6102</v>
      </c>
      <c r="F592" s="7">
        <v>23.7872</v>
      </c>
      <c r="G592" s="7">
        <v>24.1064</v>
      </c>
      <c r="H592" s="14">
        <v>23.3973</v>
      </c>
      <c r="I592" s="7">
        <v>24.3047</v>
      </c>
      <c r="J592" s="7">
        <v>24.5702</v>
      </c>
      <c r="K592" s="7"/>
      <c r="L592" s="7"/>
      <c r="M592" s="7"/>
      <c r="N592" s="7">
        <v>23.7239</v>
      </c>
      <c r="O592" s="8">
        <v>19.1338</v>
      </c>
      <c r="P592" s="7"/>
      <c r="Q592" s="7">
        <v>10.0477</v>
      </c>
      <c r="S592" s="8"/>
    </row>
    <row r="593" spans="1:19" s="12" customFormat="1" ht="16.5" customHeight="1" hidden="1">
      <c r="A593" s="3"/>
      <c r="B593" s="13" t="s">
        <v>126</v>
      </c>
      <c r="C593" s="7">
        <v>23.3631</v>
      </c>
      <c r="D593" s="7">
        <v>22.9338</v>
      </c>
      <c r="E593" s="7">
        <v>23.6235</v>
      </c>
      <c r="F593" s="7">
        <v>23.7995</v>
      </c>
      <c r="G593" s="7">
        <v>24.1085</v>
      </c>
      <c r="H593" s="14">
        <v>23.4099</v>
      </c>
      <c r="I593" s="7">
        <v>24.3403</v>
      </c>
      <c r="J593" s="7">
        <v>24.7096</v>
      </c>
      <c r="K593" s="7"/>
      <c r="L593" s="7"/>
      <c r="M593" s="7"/>
      <c r="N593" s="7">
        <v>23.8492</v>
      </c>
      <c r="O593" s="8">
        <v>19.2884</v>
      </c>
      <c r="P593" s="7"/>
      <c r="Q593" s="7">
        <v>10.0477</v>
      </c>
      <c r="S593" s="8"/>
    </row>
    <row r="594" spans="1:19" s="12" customFormat="1" ht="16.5" customHeight="1" hidden="1">
      <c r="A594" s="3"/>
      <c r="B594" s="13" t="s">
        <v>127</v>
      </c>
      <c r="C594" s="7">
        <v>23.7496</v>
      </c>
      <c r="D594" s="7">
        <v>23.3206</v>
      </c>
      <c r="E594" s="7">
        <v>23.9711</v>
      </c>
      <c r="F594" s="7">
        <v>24.1083</v>
      </c>
      <c r="G594" s="7">
        <v>24.1664</v>
      </c>
      <c r="H594" s="14">
        <v>23.7575</v>
      </c>
      <c r="I594" s="7">
        <v>24.8307</v>
      </c>
      <c r="J594" s="7">
        <v>25.1585</v>
      </c>
      <c r="K594" s="7"/>
      <c r="L594" s="7"/>
      <c r="M594" s="7"/>
      <c r="N594" s="7">
        <v>24.3129</v>
      </c>
      <c r="O594" s="8">
        <v>19.6292</v>
      </c>
      <c r="P594" s="7"/>
      <c r="Q594" s="7">
        <v>10.0477</v>
      </c>
      <c r="S594" s="8"/>
    </row>
    <row r="595" spans="1:19" s="12" customFormat="1" ht="16.5" customHeight="1" hidden="1">
      <c r="A595" s="3"/>
      <c r="B595" s="4" t="s">
        <v>13</v>
      </c>
      <c r="C595" s="11">
        <f>(C589*1+C590*7+C591*7+C592*7+C594*7+C594*2)/31</f>
        <v>24.419696774193547</v>
      </c>
      <c r="D595" s="11">
        <f aca="true" t="shared" si="80" ref="D595:Q595">(D589*1+D590*7+D591*7+D592*7+D594*7+D594*2)/31</f>
        <v>23.992303225806452</v>
      </c>
      <c r="E595" s="11">
        <f t="shared" si="80"/>
        <v>24.573458064516124</v>
      </c>
      <c r="F595" s="11">
        <f t="shared" si="80"/>
        <v>24.643241935483868</v>
      </c>
      <c r="G595" s="11">
        <f t="shared" si="80"/>
        <v>24.26694838709678</v>
      </c>
      <c r="H595" s="11">
        <f t="shared" si="80"/>
        <v>24.36052258064516</v>
      </c>
      <c r="I595" s="11">
        <f t="shared" si="80"/>
        <v>25.023016129032257</v>
      </c>
      <c r="J595" s="11">
        <f t="shared" si="80"/>
        <v>25.29238064516129</v>
      </c>
      <c r="K595" s="21"/>
      <c r="L595" s="21"/>
      <c r="M595" s="21"/>
      <c r="N595" s="11">
        <f>(N589*1+N590*7+N591*7+N592*7+N594*7+N594*2)/31</f>
        <v>24.474532258064514</v>
      </c>
      <c r="O595" s="38">
        <f t="shared" si="80"/>
        <v>19.50847419354839</v>
      </c>
      <c r="P595" s="11"/>
      <c r="Q595" s="11">
        <f t="shared" si="80"/>
        <v>10.0477</v>
      </c>
      <c r="S595" s="8"/>
    </row>
    <row r="596" spans="1:19" s="12" customFormat="1" ht="16.5" customHeight="1" hidden="1">
      <c r="A596" s="3"/>
      <c r="B596" s="13" t="s">
        <v>233</v>
      </c>
      <c r="C596" s="7">
        <v>23.6018</v>
      </c>
      <c r="D596" s="7">
        <v>23.1718</v>
      </c>
      <c r="E596" s="7">
        <v>23.9359</v>
      </c>
      <c r="F596" s="7">
        <v>24.1859</v>
      </c>
      <c r="G596" s="7">
        <v>24.9773</v>
      </c>
      <c r="H596" s="14">
        <v>23.7213</v>
      </c>
      <c r="I596" s="7">
        <v>24.9248</v>
      </c>
      <c r="J596" s="7">
        <v>25.2556</v>
      </c>
      <c r="K596" s="7"/>
      <c r="L596" s="7"/>
      <c r="M596" s="7"/>
      <c r="N596" s="7">
        <v>24.4272</v>
      </c>
      <c r="O596" s="8">
        <v>19.7849</v>
      </c>
      <c r="P596" s="7"/>
      <c r="Q596" s="7">
        <v>10.11</v>
      </c>
      <c r="S596" s="8"/>
    </row>
    <row r="597" spans="1:19" s="12" customFormat="1" ht="16.5" customHeight="1" hidden="1">
      <c r="A597" s="3"/>
      <c r="B597" s="13" t="s">
        <v>128</v>
      </c>
      <c r="C597" s="7">
        <v>23.8127</v>
      </c>
      <c r="D597" s="7">
        <v>23.3816</v>
      </c>
      <c r="E597" s="7">
        <v>24.126</v>
      </c>
      <c r="F597" s="7">
        <v>24.355</v>
      </c>
      <c r="G597" s="7">
        <v>25.0089</v>
      </c>
      <c r="H597" s="14">
        <v>23.9106</v>
      </c>
      <c r="I597" s="7">
        <v>25.16</v>
      </c>
      <c r="J597" s="7">
        <v>25.5135</v>
      </c>
      <c r="K597" s="7"/>
      <c r="L597" s="7"/>
      <c r="M597" s="7"/>
      <c r="N597" s="7">
        <v>24.7164</v>
      </c>
      <c r="O597" s="8">
        <v>20.0516</v>
      </c>
      <c r="P597" s="7"/>
      <c r="Q597" s="7">
        <v>10.11</v>
      </c>
      <c r="S597" s="8"/>
    </row>
    <row r="598" spans="1:19" s="12" customFormat="1" ht="16.5" customHeight="1" hidden="1">
      <c r="A598" s="3"/>
      <c r="B598" s="13" t="s">
        <v>130</v>
      </c>
      <c r="C598" s="7">
        <v>23.9354</v>
      </c>
      <c r="D598" s="7">
        <v>23.502</v>
      </c>
      <c r="E598" s="7">
        <v>24.2373</v>
      </c>
      <c r="F598" s="7">
        <v>24.4545</v>
      </c>
      <c r="G598" s="7">
        <v>25.0273</v>
      </c>
      <c r="H598" s="14">
        <v>24.0208</v>
      </c>
      <c r="I598" s="7">
        <v>25.5293</v>
      </c>
      <c r="J598" s="7">
        <v>25.8203</v>
      </c>
      <c r="K598" s="7"/>
      <c r="L598" s="7"/>
      <c r="M598" s="7"/>
      <c r="N598" s="7">
        <v>25.0307</v>
      </c>
      <c r="O598" s="8">
        <v>20.13</v>
      </c>
      <c r="P598" s="7"/>
      <c r="Q598" s="7">
        <v>10.11</v>
      </c>
      <c r="S598" s="8"/>
    </row>
    <row r="599" spans="1:19" s="12" customFormat="1" ht="16.5" customHeight="1" hidden="1">
      <c r="A599" s="3"/>
      <c r="B599" s="13" t="s">
        <v>131</v>
      </c>
      <c r="C599" s="7">
        <v>23.3591</v>
      </c>
      <c r="D599" s="7">
        <v>22.9255</v>
      </c>
      <c r="E599" s="7">
        <v>23.7189</v>
      </c>
      <c r="F599" s="7">
        <v>23.9938</v>
      </c>
      <c r="G599" s="7">
        <v>24.9409</v>
      </c>
      <c r="H599" s="14">
        <v>23.4436</v>
      </c>
      <c r="I599" s="7">
        <v>24.3451</v>
      </c>
      <c r="J599" s="7">
        <v>24.6321</v>
      </c>
      <c r="K599" s="7"/>
      <c r="L599" s="7"/>
      <c r="M599" s="7"/>
      <c r="N599" s="7">
        <v>23.7497</v>
      </c>
      <c r="O599" s="8">
        <v>19.6033</v>
      </c>
      <c r="P599" s="7"/>
      <c r="Q599" s="7">
        <v>10.11</v>
      </c>
      <c r="S599" s="8"/>
    </row>
    <row r="600" spans="1:19" s="12" customFormat="1" ht="16.5" customHeight="1" hidden="1">
      <c r="A600" s="3"/>
      <c r="B600" s="13" t="s">
        <v>133</v>
      </c>
      <c r="C600" s="7">
        <v>22.8049</v>
      </c>
      <c r="D600" s="7">
        <v>22.3677</v>
      </c>
      <c r="E600" s="7">
        <v>23.2217</v>
      </c>
      <c r="F600" s="7">
        <v>23.5527</v>
      </c>
      <c r="G600" s="7">
        <v>24.8577</v>
      </c>
      <c r="H600" s="14">
        <v>23.1474</v>
      </c>
      <c r="I600" s="7">
        <v>23.6617</v>
      </c>
      <c r="J600" s="7">
        <v>23.9622</v>
      </c>
      <c r="K600" s="7"/>
      <c r="L600" s="7"/>
      <c r="M600" s="7"/>
      <c r="N600" s="7">
        <v>23.3208</v>
      </c>
      <c r="O600" s="8">
        <v>19.3731</v>
      </c>
      <c r="P600" s="7"/>
      <c r="Q600" s="7">
        <v>10.11</v>
      </c>
      <c r="S600" s="8"/>
    </row>
    <row r="601" spans="1:19" s="12" customFormat="1" ht="16.5" customHeight="1" hidden="1">
      <c r="A601" s="3"/>
      <c r="B601" s="4" t="s">
        <v>13</v>
      </c>
      <c r="C601" s="11">
        <f>(C596*5+C597*7+C598*7+C599*7+C600*4)/30</f>
        <v>23.565966666666668</v>
      </c>
      <c r="D601" s="11">
        <f aca="true" t="shared" si="81" ref="D601:Q601">(D596*5+D597*7+D598*7+D599*7+D600*4)/30</f>
        <v>23.13311666666667</v>
      </c>
      <c r="E601" s="11">
        <f t="shared" si="81"/>
        <v>23.904723333333337</v>
      </c>
      <c r="F601" s="11">
        <f t="shared" si="81"/>
        <v>24.15878</v>
      </c>
      <c r="G601" s="11">
        <f t="shared" si="81"/>
        <v>24.9719</v>
      </c>
      <c r="H601" s="11">
        <f t="shared" si="81"/>
        <v>23.694036666666666</v>
      </c>
      <c r="I601" s="11">
        <f t="shared" si="81"/>
        <v>24.817053333333334</v>
      </c>
      <c r="J601" s="11">
        <f t="shared" si="81"/>
        <v>25.129603333333332</v>
      </c>
      <c r="K601" s="21"/>
      <c r="L601" s="21"/>
      <c r="M601" s="21"/>
      <c r="N601" s="11">
        <f t="shared" si="81"/>
        <v>24.329893333333334</v>
      </c>
      <c r="O601" s="38">
        <f t="shared" si="81"/>
        <v>19.830373333333334</v>
      </c>
      <c r="P601" s="11"/>
      <c r="Q601" s="11">
        <f t="shared" si="81"/>
        <v>10.109999999999998</v>
      </c>
      <c r="S601" s="8"/>
    </row>
    <row r="602" spans="1:19" s="12" customFormat="1" ht="16.5" customHeight="1" hidden="1">
      <c r="A602" s="3"/>
      <c r="B602" s="13" t="s">
        <v>238</v>
      </c>
      <c r="C602" s="7">
        <v>23.7559</v>
      </c>
      <c r="D602" s="7">
        <v>23.3193</v>
      </c>
      <c r="E602" s="7">
        <v>23.9832</v>
      </c>
      <c r="F602" s="7">
        <v>24.125</v>
      </c>
      <c r="G602" s="7">
        <v>24.2014</v>
      </c>
      <c r="H602" s="14">
        <v>23.7651</v>
      </c>
      <c r="I602" s="7">
        <v>24.4265</v>
      </c>
      <c r="J602" s="7">
        <v>24.8315</v>
      </c>
      <c r="K602" s="7"/>
      <c r="L602" s="7"/>
      <c r="M602" s="7"/>
      <c r="N602" s="7">
        <v>24.0072</v>
      </c>
      <c r="O602" s="8">
        <v>19.8101</v>
      </c>
      <c r="P602" s="7"/>
      <c r="Q602" s="7">
        <v>10.1999</v>
      </c>
      <c r="S602" s="8"/>
    </row>
    <row r="603" spans="1:19" s="12" customFormat="1" ht="16.5" customHeight="1" hidden="1">
      <c r="A603" s="3"/>
      <c r="B603" s="13" t="s">
        <v>346</v>
      </c>
      <c r="C603" s="7">
        <v>24.3771</v>
      </c>
      <c r="D603" s="7">
        <v>23.9459</v>
      </c>
      <c r="E603" s="7">
        <v>24.5405</v>
      </c>
      <c r="F603" s="7">
        <v>24.6193</v>
      </c>
      <c r="G603" s="7">
        <v>24.2946</v>
      </c>
      <c r="H603" s="14">
        <v>24.3255</v>
      </c>
      <c r="I603" s="7">
        <v>24.4678</v>
      </c>
      <c r="J603" s="7">
        <v>24.7966</v>
      </c>
      <c r="K603" s="7"/>
      <c r="L603" s="7"/>
      <c r="M603" s="7"/>
      <c r="N603" s="7">
        <v>24.1223</v>
      </c>
      <c r="O603" s="8">
        <v>19.69</v>
      </c>
      <c r="P603" s="7"/>
      <c r="Q603" s="7">
        <v>10.1999</v>
      </c>
      <c r="S603" s="8"/>
    </row>
    <row r="604" spans="1:19" s="12" customFormat="1" ht="16.5" customHeight="1" hidden="1">
      <c r="A604" s="3"/>
      <c r="B604" s="13" t="s">
        <v>135</v>
      </c>
      <c r="C604" s="7">
        <v>24.4923</v>
      </c>
      <c r="D604" s="7">
        <v>24.0646</v>
      </c>
      <c r="E604" s="7">
        <v>24.643</v>
      </c>
      <c r="F604" s="7">
        <v>24.7096</v>
      </c>
      <c r="G604" s="7">
        <v>24.3118</v>
      </c>
      <c r="H604" s="14">
        <v>24.4299</v>
      </c>
      <c r="I604" s="7">
        <v>25.0492</v>
      </c>
      <c r="J604" s="7">
        <v>25.3284</v>
      </c>
      <c r="K604" s="7"/>
      <c r="L604" s="7"/>
      <c r="M604" s="7"/>
      <c r="N604" s="7">
        <v>24.6587</v>
      </c>
      <c r="O604" s="8">
        <v>19.8979</v>
      </c>
      <c r="P604" s="7"/>
      <c r="Q604" s="7">
        <v>10.1999</v>
      </c>
      <c r="S604" s="8"/>
    </row>
    <row r="605" spans="1:19" s="12" customFormat="1" ht="16.5" customHeight="1" hidden="1">
      <c r="A605" s="3"/>
      <c r="B605" s="13" t="s">
        <v>136</v>
      </c>
      <c r="C605" s="7">
        <v>23.9947</v>
      </c>
      <c r="D605" s="7">
        <v>23.5708</v>
      </c>
      <c r="E605" s="7">
        <v>24.1936</v>
      </c>
      <c r="F605" s="7">
        <v>24.3092</v>
      </c>
      <c r="G605" s="7">
        <v>24.2372</v>
      </c>
      <c r="H605" s="14">
        <v>23.9824</v>
      </c>
      <c r="I605" s="7">
        <v>25.0232</v>
      </c>
      <c r="J605" s="7">
        <v>25.2758</v>
      </c>
      <c r="K605" s="7"/>
      <c r="L605" s="7"/>
      <c r="M605" s="7"/>
      <c r="N605" s="7">
        <v>24.5911</v>
      </c>
      <c r="O605" s="8">
        <v>19.9373</v>
      </c>
      <c r="P605" s="7"/>
      <c r="Q605" s="7">
        <v>10.1999</v>
      </c>
      <c r="R605" s="12">
        <v>10.1999</v>
      </c>
      <c r="S605" s="8"/>
    </row>
    <row r="606" spans="1:19" s="12" customFormat="1" ht="16.5" customHeight="1" hidden="1">
      <c r="A606" s="3"/>
      <c r="B606" s="13" t="s">
        <v>137</v>
      </c>
      <c r="C606" s="7">
        <v>24.291</v>
      </c>
      <c r="D606" s="7">
        <v>23.8697</v>
      </c>
      <c r="E606" s="7">
        <v>24.4591</v>
      </c>
      <c r="F606" s="7">
        <v>24.5445</v>
      </c>
      <c r="G606" s="7">
        <v>24.2816</v>
      </c>
      <c r="H606" s="14">
        <v>24.2492</v>
      </c>
      <c r="I606" s="7">
        <v>25.0093</v>
      </c>
      <c r="J606" s="7">
        <v>25.186</v>
      </c>
      <c r="K606" s="7"/>
      <c r="L606" s="7"/>
      <c r="M606" s="7"/>
      <c r="N606" s="7">
        <v>24.3804</v>
      </c>
      <c r="O606" s="8">
        <v>20.069</v>
      </c>
      <c r="P606" s="7"/>
      <c r="Q606" s="7">
        <v>10.1999</v>
      </c>
      <c r="R606" s="12">
        <v>10.1999</v>
      </c>
      <c r="S606" s="8"/>
    </row>
    <row r="607" spans="1:19" s="12" customFormat="1" ht="16.5" customHeight="1" hidden="1">
      <c r="A607" s="3"/>
      <c r="B607" s="4" t="s">
        <v>13</v>
      </c>
      <c r="C607" s="11">
        <f>(C602*3+C603*7+C604*7+C605*7+C606*7)/31</f>
        <v>24.237206451612906</v>
      </c>
      <c r="D607" s="11">
        <f>(D602*3+D603*7+D604*7+D605*7+D606*7)/31</f>
        <v>23.81015806451613</v>
      </c>
      <c r="E607" s="11">
        <f aca="true" t="shared" si="82" ref="E607:Q607">(E602*3+E603*7+E604*7+E605*7+E606*7)/31</f>
        <v>24.413</v>
      </c>
      <c r="F607" s="11">
        <f t="shared" si="82"/>
        <v>24.50494193548387</v>
      </c>
      <c r="G607" s="11">
        <f t="shared" si="82"/>
        <v>24.273567741935487</v>
      </c>
      <c r="H607" s="11">
        <f t="shared" si="82"/>
        <v>24.20013870967742</v>
      </c>
      <c r="I607" s="11">
        <f t="shared" si="82"/>
        <v>24.842774193548387</v>
      </c>
      <c r="J607" s="11">
        <f t="shared" si="82"/>
        <v>25.11619677419355</v>
      </c>
      <c r="K607" s="21"/>
      <c r="L607" s="21"/>
      <c r="M607" s="21"/>
      <c r="N607" s="11">
        <f t="shared" si="82"/>
        <v>24.39642258064516</v>
      </c>
      <c r="O607" s="38">
        <f t="shared" si="82"/>
        <v>19.889990322580644</v>
      </c>
      <c r="P607" s="11"/>
      <c r="Q607" s="11">
        <f t="shared" si="82"/>
        <v>10.1999</v>
      </c>
      <c r="R607" s="11">
        <f>(R602*3+R603*7+R604*7+R605*7+R606*7)/31</f>
        <v>4.606406451612903</v>
      </c>
      <c r="S607" s="38"/>
    </row>
    <row r="608" spans="1:19" s="12" customFormat="1" ht="16.5" customHeight="1" hidden="1">
      <c r="A608" s="3"/>
      <c r="B608" s="13" t="s">
        <v>244</v>
      </c>
      <c r="C608" s="7">
        <v>23.789</v>
      </c>
      <c r="D608" s="7">
        <v>23.3781</v>
      </c>
      <c r="E608" s="7">
        <v>23.9445</v>
      </c>
      <c r="F608" s="7">
        <v>24.0172</v>
      </c>
      <c r="G608" s="7">
        <v>23.6709</v>
      </c>
      <c r="H608" s="14">
        <v>23.7441</v>
      </c>
      <c r="I608" s="7">
        <v>24.6446</v>
      </c>
      <c r="J608" s="7">
        <v>24.8557</v>
      </c>
      <c r="K608" s="7"/>
      <c r="L608" s="7"/>
      <c r="M608" s="7"/>
      <c r="N608" s="7">
        <v>23.8979</v>
      </c>
      <c r="O608" s="8">
        <v>19.8082</v>
      </c>
      <c r="P608" s="7"/>
      <c r="Q608" s="7">
        <v>10.055</v>
      </c>
      <c r="R608" s="14">
        <v>10.055</v>
      </c>
      <c r="S608" s="8"/>
    </row>
    <row r="609" spans="1:19" s="12" customFormat="1" ht="16.5" customHeight="1" hidden="1">
      <c r="A609" s="3"/>
      <c r="B609" s="13" t="s">
        <v>139</v>
      </c>
      <c r="C609" s="7">
        <v>22.5462</v>
      </c>
      <c r="D609" s="7">
        <v>22.1609</v>
      </c>
      <c r="E609" s="7">
        <v>22.8266</v>
      </c>
      <c r="F609" s="7">
        <v>23.0238</v>
      </c>
      <c r="G609" s="7">
        <v>23.4844</v>
      </c>
      <c r="H609" s="14">
        <v>22.6498</v>
      </c>
      <c r="I609" s="7">
        <v>23.3324</v>
      </c>
      <c r="J609" s="7">
        <v>23.6125</v>
      </c>
      <c r="K609" s="7"/>
      <c r="L609" s="7"/>
      <c r="M609" s="7"/>
      <c r="N609" s="7">
        <v>22.6605</v>
      </c>
      <c r="O609" s="8">
        <v>18.7792</v>
      </c>
      <c r="P609" s="7"/>
      <c r="Q609" s="7">
        <v>10.055</v>
      </c>
      <c r="R609" s="14">
        <v>10.055</v>
      </c>
      <c r="S609" s="8"/>
    </row>
    <row r="610" spans="1:19" s="12" customFormat="1" ht="16.5" customHeight="1" hidden="1">
      <c r="A610" s="3"/>
      <c r="B610" s="13" t="s">
        <v>140</v>
      </c>
      <c r="C610" s="7">
        <v>23.3958</v>
      </c>
      <c r="D610" s="7">
        <v>23.0102</v>
      </c>
      <c r="E610" s="7">
        <v>23.5911</v>
      </c>
      <c r="F610" s="7">
        <v>23.7034</v>
      </c>
      <c r="G610" s="7">
        <v>23.6119</v>
      </c>
      <c r="H610" s="14">
        <v>23.4141</v>
      </c>
      <c r="I610" s="7">
        <v>23.6467</v>
      </c>
      <c r="J610" s="7">
        <v>23.8369</v>
      </c>
      <c r="K610" s="7"/>
      <c r="L610" s="7"/>
      <c r="M610" s="7"/>
      <c r="N610" s="7">
        <v>22.9542</v>
      </c>
      <c r="O610" s="8">
        <v>19.0626</v>
      </c>
      <c r="P610" s="7"/>
      <c r="Q610" s="7">
        <v>10.055</v>
      </c>
      <c r="R610" s="14">
        <v>10.055</v>
      </c>
      <c r="S610" s="8"/>
    </row>
    <row r="611" spans="1:19" s="12" customFormat="1" ht="16.5" customHeight="1" hidden="1">
      <c r="A611" s="3"/>
      <c r="B611" s="13" t="s">
        <v>141</v>
      </c>
      <c r="C611" s="7">
        <v>23.5086</v>
      </c>
      <c r="D611" s="7">
        <v>23.1227</v>
      </c>
      <c r="E611" s="7">
        <v>23.6929</v>
      </c>
      <c r="F611" s="7">
        <v>23.7939</v>
      </c>
      <c r="G611" s="7">
        <v>23.6288</v>
      </c>
      <c r="H611" s="14">
        <v>23.5156</v>
      </c>
      <c r="I611" s="7">
        <v>23.6728</v>
      </c>
      <c r="J611" s="7">
        <v>23.8345</v>
      </c>
      <c r="K611" s="7"/>
      <c r="L611" s="7"/>
      <c r="M611" s="7"/>
      <c r="N611" s="7">
        <v>23.0586</v>
      </c>
      <c r="O611" s="8">
        <v>19.2174</v>
      </c>
      <c r="P611" s="7"/>
      <c r="Q611" s="7">
        <v>10.055</v>
      </c>
      <c r="R611" s="14">
        <v>10.055</v>
      </c>
      <c r="S611" s="8"/>
    </row>
    <row r="612" spans="1:19" s="12" customFormat="1" ht="16.5" customHeight="1" hidden="1">
      <c r="A612" s="3"/>
      <c r="B612" s="13" t="s">
        <v>142</v>
      </c>
      <c r="C612" s="7">
        <v>24.1039</v>
      </c>
      <c r="D612" s="7">
        <v>23.7167</v>
      </c>
      <c r="E612" s="7">
        <v>24.2291</v>
      </c>
      <c r="F612" s="7">
        <v>24.2709</v>
      </c>
      <c r="G612" s="7">
        <v>23.7181</v>
      </c>
      <c r="H612" s="14">
        <v>24.0512</v>
      </c>
      <c r="I612" s="7">
        <v>23.9637</v>
      </c>
      <c r="J612" s="7">
        <v>24.1068</v>
      </c>
      <c r="K612" s="7"/>
      <c r="L612" s="7"/>
      <c r="M612" s="7"/>
      <c r="N612" s="7">
        <v>23.529</v>
      </c>
      <c r="O612" s="8">
        <v>19.5241</v>
      </c>
      <c r="P612" s="7"/>
      <c r="Q612" s="7">
        <v>10.055</v>
      </c>
      <c r="R612" s="14">
        <v>10.055</v>
      </c>
      <c r="S612" s="8"/>
    </row>
    <row r="613" spans="1:19" s="12" customFormat="1" ht="16.5" customHeight="1" hidden="1">
      <c r="A613" s="3"/>
      <c r="B613" s="4" t="s">
        <v>13</v>
      </c>
      <c r="C613" s="11">
        <f>(C608*7+C609*7+C610*7+C611*7+C612*3)/31</f>
        <v>23.38673870967742</v>
      </c>
      <c r="D613" s="11">
        <f aca="true" t="shared" si="83" ref="D613:Q613">(D608*7+D609*7+D610*7+D611*7+D612*3)/31</f>
        <v>22.995270967741934</v>
      </c>
      <c r="E613" s="11">
        <f t="shared" si="83"/>
        <v>23.583000000000002</v>
      </c>
      <c r="F613" s="11">
        <f t="shared" si="83"/>
        <v>23.696154838709678</v>
      </c>
      <c r="G613" s="11">
        <f t="shared" si="83"/>
        <v>23.610525806451612</v>
      </c>
      <c r="H613" s="11">
        <f t="shared" si="83"/>
        <v>23.400606451612905</v>
      </c>
      <c r="I613" s="11">
        <f t="shared" si="83"/>
        <v>23.837632258064517</v>
      </c>
      <c r="J613" s="11">
        <f t="shared" si="83"/>
        <v>24.041858064516124</v>
      </c>
      <c r="K613" s="21"/>
      <c r="L613" s="21"/>
      <c r="M613" s="21"/>
      <c r="N613" s="11">
        <f t="shared" si="83"/>
        <v>23.180174193548385</v>
      </c>
      <c r="O613" s="38">
        <f t="shared" si="83"/>
        <v>19.246583870967743</v>
      </c>
      <c r="P613" s="11"/>
      <c r="Q613" s="11">
        <f t="shared" si="83"/>
        <v>10.055</v>
      </c>
      <c r="R613" s="11">
        <f>(R608*7+R609*7+R610*7+R611*7+R612*3)/31</f>
        <v>10.055</v>
      </c>
      <c r="S613" s="38"/>
    </row>
    <row r="614" spans="1:19" s="12" customFormat="1" ht="16.5" customHeight="1" hidden="1">
      <c r="A614" s="3"/>
      <c r="B614" s="13" t="s">
        <v>27</v>
      </c>
      <c r="C614" s="7">
        <v>24.9237</v>
      </c>
      <c r="D614" s="7">
        <v>24.5363</v>
      </c>
      <c r="E614" s="7">
        <v>24.9098</v>
      </c>
      <c r="F614" s="7">
        <v>24.8126</v>
      </c>
      <c r="G614" s="7">
        <v>23.3566</v>
      </c>
      <c r="H614" s="14">
        <v>24.7316</v>
      </c>
      <c r="I614" s="7">
        <v>24.5738</v>
      </c>
      <c r="J614" s="7">
        <v>24.7732</v>
      </c>
      <c r="K614" s="7"/>
      <c r="L614" s="7"/>
      <c r="M614" s="7"/>
      <c r="N614" s="7">
        <v>23.9919</v>
      </c>
      <c r="O614" s="8">
        <v>19.8701</v>
      </c>
      <c r="P614" s="7"/>
      <c r="Q614" s="7">
        <v>9.9894</v>
      </c>
      <c r="R614" s="12">
        <v>9.9894</v>
      </c>
      <c r="S614" s="8"/>
    </row>
    <row r="615" spans="1:19" s="12" customFormat="1" ht="16.5" customHeight="1" hidden="1">
      <c r="A615" s="3"/>
      <c r="B615" s="13" t="s">
        <v>347</v>
      </c>
      <c r="C615" s="7">
        <v>24.6135</v>
      </c>
      <c r="D615" s="7">
        <v>24.1997</v>
      </c>
      <c r="E615" s="7">
        <v>24.6307</v>
      </c>
      <c r="F615" s="7">
        <v>24.5644</v>
      </c>
      <c r="G615" s="7">
        <v>23.31</v>
      </c>
      <c r="H615" s="14">
        <v>24.4287</v>
      </c>
      <c r="I615" s="7">
        <v>24.2185</v>
      </c>
      <c r="J615" s="7">
        <v>24.5832</v>
      </c>
      <c r="K615" s="7"/>
      <c r="L615" s="7"/>
      <c r="M615" s="7"/>
      <c r="N615" s="7">
        <v>23.7919</v>
      </c>
      <c r="O615" s="8">
        <v>19.8239</v>
      </c>
      <c r="P615" s="7"/>
      <c r="Q615" s="7">
        <v>9.9894</v>
      </c>
      <c r="R615" s="12">
        <v>9.9894</v>
      </c>
      <c r="S615" s="8"/>
    </row>
    <row r="616" spans="1:19" s="12" customFormat="1" ht="16.5" customHeight="1" hidden="1">
      <c r="A616" s="3"/>
      <c r="B616" s="13" t="s">
        <v>348</v>
      </c>
      <c r="C616" s="7">
        <v>24.1272</v>
      </c>
      <c r="D616" s="7">
        <v>23.6998</v>
      </c>
      <c r="E616" s="7">
        <v>24.1943</v>
      </c>
      <c r="F616" s="7">
        <v>24.1773</v>
      </c>
      <c r="G616" s="7">
        <v>23.2371</v>
      </c>
      <c r="H616" s="14">
        <v>23.9814</v>
      </c>
      <c r="I616" s="7">
        <v>24.0087</v>
      </c>
      <c r="J616" s="7">
        <v>24.355</v>
      </c>
      <c r="K616" s="7"/>
      <c r="L616" s="7"/>
      <c r="M616" s="7"/>
      <c r="N616" s="7">
        <v>23.5934</v>
      </c>
      <c r="O616" s="8">
        <v>19.644</v>
      </c>
      <c r="P616" s="7"/>
      <c r="Q616" s="7">
        <v>9.9894</v>
      </c>
      <c r="R616" s="12">
        <v>9.9894</v>
      </c>
      <c r="S616" s="8"/>
    </row>
    <row r="617" spans="1:19" s="12" customFormat="1" ht="16.5" customHeight="1" hidden="1">
      <c r="A617" s="3"/>
      <c r="B617" s="13" t="s">
        <v>349</v>
      </c>
      <c r="C617" s="7">
        <v>24.2619</v>
      </c>
      <c r="D617" s="7">
        <v>23.8296</v>
      </c>
      <c r="E617" s="7">
        <v>24.3176</v>
      </c>
      <c r="F617" s="7">
        <v>24.2882</v>
      </c>
      <c r="G617" s="7">
        <v>23.2573</v>
      </c>
      <c r="H617" s="14">
        <v>24.1022</v>
      </c>
      <c r="I617" s="7">
        <v>24.1154</v>
      </c>
      <c r="J617" s="7">
        <v>24.4701</v>
      </c>
      <c r="K617" s="7"/>
      <c r="L617" s="7"/>
      <c r="M617" s="7"/>
      <c r="N617" s="7">
        <v>23.5745</v>
      </c>
      <c r="O617" s="8">
        <v>19.8732</v>
      </c>
      <c r="P617" s="7"/>
      <c r="Q617" s="7">
        <v>9.9894</v>
      </c>
      <c r="R617" s="12">
        <v>9.9894</v>
      </c>
      <c r="S617" s="8"/>
    </row>
    <row r="618" spans="1:19" s="12" customFormat="1" ht="16.5" customHeight="1" hidden="1">
      <c r="A618" s="3"/>
      <c r="B618" s="13" t="s">
        <v>350</v>
      </c>
      <c r="C618" s="7">
        <v>23.6994</v>
      </c>
      <c r="D618" s="7">
        <v>23.2614</v>
      </c>
      <c r="E618" s="7">
        <v>23.8137</v>
      </c>
      <c r="F618" s="7">
        <v>23.8419</v>
      </c>
      <c r="G618" s="7">
        <v>23.1729</v>
      </c>
      <c r="H618" s="14">
        <v>23.5957</v>
      </c>
      <c r="I618" s="7">
        <v>23.762</v>
      </c>
      <c r="J618" s="7">
        <v>24.0392</v>
      </c>
      <c r="K618" s="7"/>
      <c r="L618" s="7"/>
      <c r="M618" s="7"/>
      <c r="N618" s="7">
        <v>23.3351</v>
      </c>
      <c r="O618" s="8">
        <v>19.5819</v>
      </c>
      <c r="P618" s="7"/>
      <c r="Q618" s="7">
        <v>9.9894</v>
      </c>
      <c r="R618" s="12">
        <v>9.9894</v>
      </c>
      <c r="S618" s="8"/>
    </row>
    <row r="619" spans="1:19" s="12" customFormat="1" ht="16.5" customHeight="1" hidden="1">
      <c r="A619" s="3"/>
      <c r="B619" s="4" t="s">
        <v>13</v>
      </c>
      <c r="C619" s="11">
        <f>(C614*4+C615*7+C616*7+C617*7+C618*5)/30</f>
        <v>24.307</v>
      </c>
      <c r="D619" s="11">
        <f aca="true" t="shared" si="84" ref="D619:O619">(D614*4+D615*7+D616*7+D617*7+D618*5)/30</f>
        <v>23.885196666666666</v>
      </c>
      <c r="E619" s="11">
        <f t="shared" si="84"/>
        <v>24.35686333333333</v>
      </c>
      <c r="F619" s="11">
        <f t="shared" si="84"/>
        <v>24.32230666666666</v>
      </c>
      <c r="G619" s="11">
        <f t="shared" si="84"/>
        <v>23.26405666666667</v>
      </c>
      <c r="H619" s="11">
        <f t="shared" si="84"/>
        <v>24.1497</v>
      </c>
      <c r="I619" s="11">
        <f t="shared" si="84"/>
        <v>24.116780000000002</v>
      </c>
      <c r="J619" s="11">
        <f t="shared" si="84"/>
        <v>24.43823</v>
      </c>
      <c r="K619" s="21"/>
      <c r="L619" s="21"/>
      <c r="M619" s="21"/>
      <c r="N619" s="11">
        <f t="shared" si="84"/>
        <v>23.64539</v>
      </c>
      <c r="O619" s="38">
        <f t="shared" si="84"/>
        <v>19.75925333333333</v>
      </c>
      <c r="P619" s="11"/>
      <c r="Q619" s="11">
        <f>(Q614*4+Q615*7+Q616*7+Q617*7+Q618*5)/30</f>
        <v>9.989399999999998</v>
      </c>
      <c r="R619" s="11">
        <f>(R614*4+R615*7+R616*7+R617*7+R618*5)/30</f>
        <v>9.989399999999998</v>
      </c>
      <c r="S619" s="38"/>
    </row>
    <row r="620" spans="1:19" s="12" customFormat="1" ht="16.5" customHeight="1" hidden="1">
      <c r="A620" s="3"/>
      <c r="B620" s="13" t="s">
        <v>253</v>
      </c>
      <c r="C620" s="7">
        <v>23.9174</v>
      </c>
      <c r="D620" s="7">
        <v>23.4767</v>
      </c>
      <c r="E620" s="7">
        <v>24.1319</v>
      </c>
      <c r="F620" s="7">
        <v>24.2597</v>
      </c>
      <c r="G620" s="7">
        <v>24.2341</v>
      </c>
      <c r="H620" s="14">
        <v>23.9125</v>
      </c>
      <c r="I620" s="7">
        <v>24.1416</v>
      </c>
      <c r="J620" s="7">
        <v>24.4195</v>
      </c>
      <c r="K620" s="7"/>
      <c r="L620" s="7"/>
      <c r="M620" s="7"/>
      <c r="N620" s="7">
        <v>23.6368</v>
      </c>
      <c r="O620" s="8">
        <v>19.7676</v>
      </c>
      <c r="P620" s="7"/>
      <c r="Q620" s="7">
        <v>10.1677</v>
      </c>
      <c r="R620" s="12">
        <v>10.1677</v>
      </c>
      <c r="S620" s="8"/>
    </row>
    <row r="621" spans="1:19" s="12" customFormat="1" ht="16.5" customHeight="1" hidden="1">
      <c r="A621" s="3"/>
      <c r="B621" s="13" t="s">
        <v>351</v>
      </c>
      <c r="C621" s="7">
        <v>23.7514</v>
      </c>
      <c r="D621" s="7">
        <v>23.3113</v>
      </c>
      <c r="E621" s="7">
        <v>23.9823</v>
      </c>
      <c r="F621" s="7">
        <v>24.1267</v>
      </c>
      <c r="G621" s="7">
        <v>24.2092</v>
      </c>
      <c r="H621" s="14">
        <v>23.7633</v>
      </c>
      <c r="I621" s="7">
        <v>23.617</v>
      </c>
      <c r="J621" s="7">
        <v>23.7947</v>
      </c>
      <c r="K621" s="7"/>
      <c r="L621" s="7"/>
      <c r="M621" s="7"/>
      <c r="N621" s="7">
        <v>23.0364</v>
      </c>
      <c r="O621" s="8">
        <v>19.35</v>
      </c>
      <c r="P621" s="7"/>
      <c r="Q621" s="7">
        <v>10.1677</v>
      </c>
      <c r="R621" s="12">
        <v>10.1677</v>
      </c>
      <c r="S621" s="8"/>
    </row>
    <row r="622" spans="1:19" s="12" customFormat="1" ht="16.5" customHeight="1" hidden="1">
      <c r="A622" s="3"/>
      <c r="B622" s="13" t="s">
        <v>352</v>
      </c>
      <c r="C622" s="7">
        <v>24.5259</v>
      </c>
      <c r="D622" s="7">
        <v>24.089</v>
      </c>
      <c r="E622" s="7">
        <v>24.678</v>
      </c>
      <c r="F622" s="7">
        <v>24.7442</v>
      </c>
      <c r="G622" s="7">
        <v>24.3254</v>
      </c>
      <c r="H622" s="14">
        <v>24.4604</v>
      </c>
      <c r="I622" s="7">
        <v>23.9212</v>
      </c>
      <c r="J622" s="7">
        <v>23.9833</v>
      </c>
      <c r="K622" s="7"/>
      <c r="L622" s="7"/>
      <c r="M622" s="7"/>
      <c r="N622" s="7">
        <v>23.2836</v>
      </c>
      <c r="O622" s="8">
        <v>19.9742</v>
      </c>
      <c r="P622" s="7"/>
      <c r="Q622" s="7">
        <v>10.1677</v>
      </c>
      <c r="R622" s="12">
        <v>10.1677</v>
      </c>
      <c r="S622" s="8"/>
    </row>
    <row r="623" spans="1:19" s="12" customFormat="1" ht="16.5" customHeight="1" hidden="1">
      <c r="A623" s="3"/>
      <c r="B623" s="13" t="s">
        <v>353</v>
      </c>
      <c r="C623" s="7">
        <v>24.1481</v>
      </c>
      <c r="D623" s="7">
        <v>23.7161</v>
      </c>
      <c r="E623" s="7">
        <v>24.336</v>
      </c>
      <c r="F623" s="7">
        <v>24.4389</v>
      </c>
      <c r="G623" s="7">
        <v>24.2687</v>
      </c>
      <c r="H623" s="14">
        <v>24.1208</v>
      </c>
      <c r="I623" s="7">
        <v>24.4307</v>
      </c>
      <c r="J623" s="7">
        <v>24.2907</v>
      </c>
      <c r="K623" s="7"/>
      <c r="L623" s="7"/>
      <c r="M623" s="7"/>
      <c r="N623" s="7">
        <v>23.6503</v>
      </c>
      <c r="O623" s="8">
        <v>20.1755</v>
      </c>
      <c r="P623" s="7"/>
      <c r="Q623" s="7">
        <v>10.1677</v>
      </c>
      <c r="R623" s="12">
        <v>10.1677</v>
      </c>
      <c r="S623" s="8"/>
    </row>
    <row r="624" spans="1:19" s="12" customFormat="1" ht="16.5" customHeight="1" hidden="1">
      <c r="A624" s="3"/>
      <c r="B624" s="13" t="s">
        <v>354</v>
      </c>
      <c r="C624" s="7">
        <v>23.8322</v>
      </c>
      <c r="D624" s="7">
        <v>23.3971</v>
      </c>
      <c r="E624" s="7">
        <v>24.053</v>
      </c>
      <c r="F624" s="7">
        <v>24.1882</v>
      </c>
      <c r="G624" s="7">
        <v>24.2213</v>
      </c>
      <c r="H624" s="14">
        <v>23.8364</v>
      </c>
      <c r="I624" s="7">
        <v>24.9959</v>
      </c>
      <c r="J624" s="7">
        <v>24.9634</v>
      </c>
      <c r="K624" s="7"/>
      <c r="L624" s="7"/>
      <c r="M624" s="7"/>
      <c r="N624" s="7">
        <v>24.3359</v>
      </c>
      <c r="O624" s="8">
        <v>20.57</v>
      </c>
      <c r="P624" s="7"/>
      <c r="Q624" s="7">
        <v>10.1677</v>
      </c>
      <c r="R624" s="12">
        <v>10.1677</v>
      </c>
      <c r="S624" s="8"/>
    </row>
    <row r="625" spans="1:19" s="12" customFormat="1" ht="16.5" customHeight="1" hidden="1">
      <c r="A625" s="3"/>
      <c r="B625" s="13" t="s">
        <v>355</v>
      </c>
      <c r="C625" s="7">
        <v>23.7645</v>
      </c>
      <c r="D625" s="7">
        <v>23.3308</v>
      </c>
      <c r="E625" s="7">
        <v>23.9915</v>
      </c>
      <c r="F625" s="7">
        <v>24.1332</v>
      </c>
      <c r="G625" s="7">
        <v>24.2112</v>
      </c>
      <c r="H625" s="14">
        <v>23.7755</v>
      </c>
      <c r="I625" s="7">
        <v>25.2323</v>
      </c>
      <c r="J625" s="7">
        <v>25.2452</v>
      </c>
      <c r="K625" s="7"/>
      <c r="L625" s="7"/>
      <c r="M625" s="7"/>
      <c r="N625" s="7">
        <v>24.631</v>
      </c>
      <c r="O625" s="8">
        <v>20.7463</v>
      </c>
      <c r="P625" s="7"/>
      <c r="Q625" s="7">
        <v>10.1677</v>
      </c>
      <c r="R625" s="12">
        <v>10.1677</v>
      </c>
      <c r="S625" s="8"/>
    </row>
    <row r="626" spans="1:19" s="12" customFormat="1" ht="16.5" customHeight="1" hidden="1">
      <c r="A626" s="3"/>
      <c r="B626" s="4" t="s">
        <v>13</v>
      </c>
      <c r="C626" s="11">
        <f>(C620*2+C621*7+C622*7+C623*7+C624*7+C625*1)/31</f>
        <v>24.04524193548387</v>
      </c>
      <c r="D626" s="11">
        <f aca="true" t="shared" si="85" ref="D626:Q626">(D620*2+D621*7+D622*7+D623*7+D624*7+D625*1)/31</f>
        <v>23.608990322580645</v>
      </c>
      <c r="E626" s="11">
        <f t="shared" si="85"/>
        <v>24.245174193548383</v>
      </c>
      <c r="F626" s="11">
        <f t="shared" si="85"/>
        <v>24.359309677419354</v>
      </c>
      <c r="G626" s="11">
        <f t="shared" si="85"/>
        <v>24.253277419354838</v>
      </c>
      <c r="H626" s="11">
        <f t="shared" si="85"/>
        <v>24.02796129032258</v>
      </c>
      <c r="I626" s="11">
        <f t="shared" si="85"/>
        <v>24.266745161290327</v>
      </c>
      <c r="J626" s="11">
        <f t="shared" si="85"/>
        <v>24.30028709677419</v>
      </c>
      <c r="K626" s="21"/>
      <c r="L626" s="21"/>
      <c r="M626" s="21"/>
      <c r="N626" s="11">
        <f t="shared" si="85"/>
        <v>23.61445161290322</v>
      </c>
      <c r="O626" s="38">
        <f t="shared" si="85"/>
        <v>20.024819354838716</v>
      </c>
      <c r="P626" s="11"/>
      <c r="Q626" s="11">
        <f t="shared" si="85"/>
        <v>10.167700000000002</v>
      </c>
      <c r="R626" s="11">
        <f>(R620*2+R621*7+R622*7+R623*7+R624*7+R625*1)/31</f>
        <v>10.167700000000002</v>
      </c>
      <c r="S626" s="38"/>
    </row>
    <row r="627" spans="1:19" s="12" customFormat="1" ht="16.5" customHeight="1" hidden="1">
      <c r="A627" s="3"/>
      <c r="B627" s="13" t="s">
        <v>89</v>
      </c>
      <c r="C627" s="7">
        <v>23.0001</v>
      </c>
      <c r="D627" s="7">
        <v>22.5651</v>
      </c>
      <c r="E627" s="7">
        <v>23.0041</v>
      </c>
      <c r="F627" s="7">
        <v>22.9226</v>
      </c>
      <c r="G627" s="7">
        <v>21.5465</v>
      </c>
      <c r="H627" s="14">
        <v>22.7878</v>
      </c>
      <c r="I627" s="7">
        <v>24.8773</v>
      </c>
      <c r="J627" s="7">
        <v>25.1157</v>
      </c>
      <c r="K627" s="7"/>
      <c r="L627" s="7"/>
      <c r="M627" s="7"/>
      <c r="N627" s="7">
        <v>24.469</v>
      </c>
      <c r="O627" s="8">
        <v>20.7109</v>
      </c>
      <c r="P627" s="7"/>
      <c r="Q627" s="7">
        <v>10.3238</v>
      </c>
      <c r="R627" s="12">
        <v>10.3238</v>
      </c>
      <c r="S627" s="8"/>
    </row>
    <row r="628" spans="1:19" s="12" customFormat="1" ht="16.5" customHeight="1" hidden="1">
      <c r="A628" s="3"/>
      <c r="B628" s="13" t="s">
        <v>356</v>
      </c>
      <c r="C628" s="7">
        <v>23.0612</v>
      </c>
      <c r="D628" s="7">
        <v>22.627</v>
      </c>
      <c r="E628" s="7">
        <v>23.0589</v>
      </c>
      <c r="F628" s="7">
        <v>22.9711</v>
      </c>
      <c r="G628" s="7">
        <v>21.5557</v>
      </c>
      <c r="H628" s="14">
        <v>22.8429</v>
      </c>
      <c r="I628" s="7">
        <v>25.4164</v>
      </c>
      <c r="J628" s="7">
        <v>25.7675</v>
      </c>
      <c r="K628" s="7"/>
      <c r="L628" s="7"/>
      <c r="M628" s="7"/>
      <c r="N628" s="7">
        <v>25.1292</v>
      </c>
      <c r="O628" s="8">
        <v>21.3412</v>
      </c>
      <c r="P628" s="7"/>
      <c r="Q628" s="7">
        <v>10.3238</v>
      </c>
      <c r="R628" s="12">
        <v>10.3238</v>
      </c>
      <c r="S628" s="8"/>
    </row>
    <row r="629" spans="1:19" s="12" customFormat="1" ht="16.5" customHeight="1" hidden="1">
      <c r="A629" s="3"/>
      <c r="B629" s="13" t="s">
        <v>357</v>
      </c>
      <c r="C629" s="7">
        <v>22.32</v>
      </c>
      <c r="D629" s="7">
        <v>21.8846</v>
      </c>
      <c r="E629" s="7">
        <v>22.3924</v>
      </c>
      <c r="F629" s="7">
        <v>22.3791</v>
      </c>
      <c r="G629" s="7">
        <v>21.4445</v>
      </c>
      <c r="H629" s="14">
        <v>22.176</v>
      </c>
      <c r="I629" s="7">
        <v>25.7555</v>
      </c>
      <c r="J629" s="7">
        <v>26.2</v>
      </c>
      <c r="K629" s="7"/>
      <c r="L629" s="7"/>
      <c r="M629" s="7"/>
      <c r="N629" s="7">
        <v>25.588</v>
      </c>
      <c r="O629" s="8">
        <v>21.4328</v>
      </c>
      <c r="P629" s="7"/>
      <c r="Q629" s="7">
        <v>10.3238</v>
      </c>
      <c r="R629" s="12">
        <v>10.3238</v>
      </c>
      <c r="S629" s="8"/>
    </row>
    <row r="630" spans="1:19" s="12" customFormat="1" ht="16.5" customHeight="1" hidden="1">
      <c r="A630" s="3"/>
      <c r="B630" s="13" t="s">
        <v>358</v>
      </c>
      <c r="C630" s="7">
        <v>21.834</v>
      </c>
      <c r="D630" s="7">
        <v>21.3957</v>
      </c>
      <c r="E630" s="7">
        <v>21.957</v>
      </c>
      <c r="F630" s="7">
        <v>21.9933</v>
      </c>
      <c r="G630" s="7">
        <v>21.3716</v>
      </c>
      <c r="H630" s="14">
        <v>21.7399</v>
      </c>
      <c r="I630" s="7">
        <v>25.3138</v>
      </c>
      <c r="J630" s="7">
        <v>25.5415</v>
      </c>
      <c r="K630" s="7"/>
      <c r="L630" s="7"/>
      <c r="M630" s="7"/>
      <c r="N630" s="7">
        <v>24.8692</v>
      </c>
      <c r="O630" s="8">
        <v>20.6951</v>
      </c>
      <c r="P630" s="7"/>
      <c r="Q630" s="7">
        <v>10.3238</v>
      </c>
      <c r="R630" s="12">
        <v>10.3238</v>
      </c>
      <c r="S630" s="8"/>
    </row>
    <row r="631" spans="1:19" s="12" customFormat="1" ht="16.5" customHeight="1" hidden="1">
      <c r="A631" s="3"/>
      <c r="B631" s="13" t="s">
        <v>359</v>
      </c>
      <c r="C631" s="7">
        <v>22.011</v>
      </c>
      <c r="D631" s="7">
        <v>21.5716</v>
      </c>
      <c r="E631" s="7">
        <v>22.1168</v>
      </c>
      <c r="F631" s="7">
        <v>22.1356</v>
      </c>
      <c r="G631" s="7">
        <v>21.3982</v>
      </c>
      <c r="H631" s="14">
        <v>21.8992</v>
      </c>
      <c r="I631" s="7">
        <v>25.0325</v>
      </c>
      <c r="J631" s="7">
        <v>25.2844</v>
      </c>
      <c r="K631" s="7"/>
      <c r="L631" s="7"/>
      <c r="M631" s="7"/>
      <c r="N631" s="7">
        <v>24.5789</v>
      </c>
      <c r="O631" s="8">
        <v>20.8172</v>
      </c>
      <c r="P631" s="7"/>
      <c r="Q631" s="7">
        <v>10.3238</v>
      </c>
      <c r="R631" s="12">
        <v>10.3238</v>
      </c>
      <c r="S631" s="8"/>
    </row>
    <row r="632" spans="1:19" s="12" customFormat="1" ht="16.5" customHeight="1" hidden="1">
      <c r="A632" s="3"/>
      <c r="B632" s="4" t="s">
        <v>13</v>
      </c>
      <c r="C632" s="11">
        <f>(C627*6+C628*7+C629*7+C630*7+C631*3)/30</f>
        <v>22.484666666666666</v>
      </c>
      <c r="D632" s="11">
        <f aca="true" t="shared" si="86" ref="D632:Q632">(D627*6+D628*7+D629*7+D630*7+D631*3)/30</f>
        <v>22.048549999999995</v>
      </c>
      <c r="E632" s="11">
        <f t="shared" si="86"/>
        <v>22.54110333333334</v>
      </c>
      <c r="F632" s="11">
        <f t="shared" si="86"/>
        <v>22.511563333333335</v>
      </c>
      <c r="G632" s="11">
        <f t="shared" si="86"/>
        <v>21.469206666666665</v>
      </c>
      <c r="H632" s="11">
        <f t="shared" si="86"/>
        <v>22.32453333333333</v>
      </c>
      <c r="I632" s="11">
        <f t="shared" si="86"/>
        <v>25.32537333333333</v>
      </c>
      <c r="J632" s="11">
        <f t="shared" si="86"/>
        <v>25.637013333333336</v>
      </c>
      <c r="K632" s="21"/>
      <c r="L632" s="21"/>
      <c r="M632" s="21"/>
      <c r="N632" s="11">
        <f t="shared" si="86"/>
        <v>24.98851666666667</v>
      </c>
      <c r="O632" s="38">
        <f t="shared" si="86"/>
        <v>21.033356666666666</v>
      </c>
      <c r="P632" s="11"/>
      <c r="Q632" s="11">
        <f t="shared" si="86"/>
        <v>10.3238</v>
      </c>
      <c r="R632" s="11">
        <f>(R627*6+R628*7+R629*7+R630*7+R631*3)/30</f>
        <v>10.3238</v>
      </c>
      <c r="S632" s="38"/>
    </row>
    <row r="633" spans="1:19" s="12" customFormat="1" ht="16.5" customHeight="1" hidden="1">
      <c r="A633" s="3"/>
      <c r="B633" s="13" t="s">
        <v>40</v>
      </c>
      <c r="C633" s="7">
        <v>22.1364</v>
      </c>
      <c r="D633" s="7">
        <v>21.7012</v>
      </c>
      <c r="E633" s="7">
        <v>22.2129</v>
      </c>
      <c r="F633" s="7">
        <v>22.2033</v>
      </c>
      <c r="G633" s="7">
        <v>21.2895</v>
      </c>
      <c r="H633" s="14">
        <v>21.9973</v>
      </c>
      <c r="I633" s="7">
        <v>24.8485</v>
      </c>
      <c r="J633" s="7">
        <v>25.3599</v>
      </c>
      <c r="K633" s="7"/>
      <c r="L633" s="7"/>
      <c r="M633" s="7"/>
      <c r="N633" s="7">
        <v>24.5583</v>
      </c>
      <c r="O633" s="8">
        <v>21.0021</v>
      </c>
      <c r="P633" s="7"/>
      <c r="Q633" s="7">
        <v>10.3468</v>
      </c>
      <c r="R633" s="12">
        <v>10.3468</v>
      </c>
      <c r="S633" s="8"/>
    </row>
    <row r="634" spans="1:19" s="12" customFormat="1" ht="16.5" customHeight="1" hidden="1">
      <c r="A634" s="3"/>
      <c r="B634" s="13" t="s">
        <v>41</v>
      </c>
      <c r="C634" s="7">
        <v>22.3755</v>
      </c>
      <c r="D634" s="7">
        <v>21.9565</v>
      </c>
      <c r="E634" s="7">
        <v>22.4272</v>
      </c>
      <c r="F634" s="7">
        <v>22.3932</v>
      </c>
      <c r="G634" s="7">
        <v>21.3253</v>
      </c>
      <c r="H634" s="14">
        <v>22.2254</v>
      </c>
      <c r="I634" s="7">
        <v>24.7898</v>
      </c>
      <c r="J634" s="7">
        <v>25.356</v>
      </c>
      <c r="K634" s="7"/>
      <c r="L634" s="7"/>
      <c r="M634" s="7"/>
      <c r="N634" s="7">
        <v>24.5479</v>
      </c>
      <c r="O634" s="8">
        <v>20.7666</v>
      </c>
      <c r="P634" s="7"/>
      <c r="Q634" s="7">
        <v>10.3468</v>
      </c>
      <c r="R634" s="12">
        <v>10.3468</v>
      </c>
      <c r="S634" s="8"/>
    </row>
    <row r="635" spans="1:19" s="12" customFormat="1" ht="16.5" customHeight="1" hidden="1">
      <c r="A635" s="3"/>
      <c r="B635" s="13" t="s">
        <v>360</v>
      </c>
      <c r="C635" s="7">
        <v>22.6621</v>
      </c>
      <c r="D635" s="7">
        <v>22.249</v>
      </c>
      <c r="E635" s="7">
        <v>22.6871</v>
      </c>
      <c r="F635" s="7">
        <v>22.6255</v>
      </c>
      <c r="G635" s="7">
        <v>21.3683</v>
      </c>
      <c r="H635" s="14">
        <v>22.4926</v>
      </c>
      <c r="I635" s="7">
        <v>24.449</v>
      </c>
      <c r="J635" s="7">
        <v>25.0951</v>
      </c>
      <c r="K635" s="7"/>
      <c r="L635" s="7"/>
      <c r="M635" s="7"/>
      <c r="N635" s="7">
        <v>24.2788</v>
      </c>
      <c r="O635" s="8">
        <v>20.2967</v>
      </c>
      <c r="P635" s="7"/>
      <c r="Q635" s="7">
        <v>10.3468</v>
      </c>
      <c r="R635" s="12">
        <v>10.3468</v>
      </c>
      <c r="S635" s="8"/>
    </row>
    <row r="636" spans="1:19" s="12" customFormat="1" ht="16.5" customHeight="1" hidden="1">
      <c r="A636" s="3"/>
      <c r="B636" s="13" t="s">
        <v>361</v>
      </c>
      <c r="C636" s="7">
        <v>22.7027</v>
      </c>
      <c r="D636" s="7">
        <v>22.2881</v>
      </c>
      <c r="E636" s="7">
        <v>22.7244</v>
      </c>
      <c r="F636" s="7">
        <v>22.6591</v>
      </c>
      <c r="G636" s="7">
        <v>21.3744</v>
      </c>
      <c r="H636" s="14">
        <v>22.5292</v>
      </c>
      <c r="I636" s="7">
        <v>24.1928</v>
      </c>
      <c r="J636" s="7">
        <v>24.865</v>
      </c>
      <c r="K636" s="7"/>
      <c r="L636" s="7"/>
      <c r="M636" s="7"/>
      <c r="N636" s="7">
        <v>24.0462</v>
      </c>
      <c r="O636" s="8">
        <v>20.3483</v>
      </c>
      <c r="P636" s="7"/>
      <c r="Q636" s="7">
        <v>10.3468</v>
      </c>
      <c r="R636" s="12">
        <v>10.3468</v>
      </c>
      <c r="S636" s="8"/>
    </row>
    <row r="637" spans="1:19" s="12" customFormat="1" ht="16.5" customHeight="1" hidden="1">
      <c r="A637" s="3"/>
      <c r="B637" s="13" t="s">
        <v>362</v>
      </c>
      <c r="C637" s="7">
        <v>23.2827</v>
      </c>
      <c r="D637" s="7">
        <v>22.8654</v>
      </c>
      <c r="E637" s="7">
        <v>23.2474</v>
      </c>
      <c r="F637" s="7">
        <v>23.1246</v>
      </c>
      <c r="G637" s="7">
        <v>21.4614</v>
      </c>
      <c r="H637" s="14">
        <v>23.0509</v>
      </c>
      <c r="I637" s="7">
        <v>24.5081</v>
      </c>
      <c r="J637" s="7">
        <v>25.2086</v>
      </c>
      <c r="K637" s="7"/>
      <c r="L637" s="7"/>
      <c r="M637" s="7"/>
      <c r="N637" s="7">
        <v>24.4306</v>
      </c>
      <c r="O637" s="8">
        <v>20.8476</v>
      </c>
      <c r="P637" s="7"/>
      <c r="Q637" s="7">
        <v>10.3468</v>
      </c>
      <c r="R637" s="12">
        <v>10.3468</v>
      </c>
      <c r="S637" s="8"/>
    </row>
    <row r="638" spans="1:19" s="12" customFormat="1" ht="16.5" customHeight="1" hidden="1">
      <c r="A638" s="3"/>
      <c r="B638" s="4" t="s">
        <v>13</v>
      </c>
      <c r="C638" s="11">
        <f>(C633*4+C634*7+C635*7+C636*7+C637*6)/31</f>
        <v>22.658835483870966</v>
      </c>
      <c r="D638" s="11">
        <f aca="true" t="shared" si="87" ref="D638:Q638">(D633*4+D634*7+D635*7+D636*7+D637*6)/31</f>
        <v>22.2404</v>
      </c>
      <c r="E638" s="11">
        <f t="shared" si="87"/>
        <v>22.684093548387093</v>
      </c>
      <c r="F638" s="11">
        <f t="shared" si="87"/>
        <v>22.622754838709678</v>
      </c>
      <c r="G638" s="11">
        <f t="shared" si="87"/>
        <v>21.367819354838712</v>
      </c>
      <c r="H638" s="11">
        <f t="shared" si="87"/>
        <v>22.48467741935484</v>
      </c>
      <c r="I638" s="11">
        <f t="shared" si="87"/>
        <v>24.531090322580646</v>
      </c>
      <c r="J638" s="11">
        <f t="shared" si="87"/>
        <v>25.158190322580644</v>
      </c>
      <c r="K638" s="21"/>
      <c r="L638" s="21"/>
      <c r="M638" s="21"/>
      <c r="N638" s="11">
        <f t="shared" si="87"/>
        <v>24.35248709677419</v>
      </c>
      <c r="O638" s="38">
        <f t="shared" si="87"/>
        <v>20.61210322580645</v>
      </c>
      <c r="P638" s="11"/>
      <c r="Q638" s="11">
        <f t="shared" si="87"/>
        <v>10.346799999999998</v>
      </c>
      <c r="R638" s="11">
        <f>(R633*4+R634*7+R635*7+R636*7+R637*6)/31</f>
        <v>10.346799999999998</v>
      </c>
      <c r="S638" s="38"/>
    </row>
    <row r="639" spans="1:19" s="12" customFormat="1" ht="16.5" customHeight="1">
      <c r="A639" s="20"/>
      <c r="B639" s="19">
        <v>2012</v>
      </c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39"/>
      <c r="P639" s="14"/>
      <c r="S639" s="15"/>
    </row>
    <row r="640" spans="1:19" s="12" customFormat="1" ht="16.5" customHeight="1">
      <c r="A640" s="3"/>
      <c r="B640" s="13" t="s">
        <v>212</v>
      </c>
      <c r="C640" s="7">
        <v>23.6923</v>
      </c>
      <c r="D640" s="7">
        <v>23.2466</v>
      </c>
      <c r="E640" s="7">
        <v>23.7383</v>
      </c>
      <c r="F640" s="7">
        <v>23.6961</v>
      </c>
      <c r="G640" s="7">
        <v>22.5513</v>
      </c>
      <c r="H640" s="14">
        <v>23.5173</v>
      </c>
      <c r="I640" s="7">
        <v>24.6374</v>
      </c>
      <c r="J640" s="7">
        <v>25.3983</v>
      </c>
      <c r="K640" s="7"/>
      <c r="L640" s="7"/>
      <c r="M640" s="7"/>
      <c r="N640" s="7">
        <v>24.5649</v>
      </c>
      <c r="O640" s="8">
        <v>21.2021</v>
      </c>
      <c r="P640" s="7"/>
      <c r="Q640" s="7">
        <v>10.4315</v>
      </c>
      <c r="R640" s="12">
        <v>10.4315</v>
      </c>
      <c r="S640" s="8"/>
    </row>
    <row r="641" spans="1:19" s="12" customFormat="1" ht="16.5" customHeight="1">
      <c r="A641" s="3"/>
      <c r="B641" s="13" t="s">
        <v>363</v>
      </c>
      <c r="C641" s="7">
        <v>24.457</v>
      </c>
      <c r="D641" s="7">
        <v>24.012</v>
      </c>
      <c r="E641" s="7">
        <v>24.426</v>
      </c>
      <c r="F641" s="7">
        <v>24.3072</v>
      </c>
      <c r="G641" s="7">
        <v>22.6661</v>
      </c>
      <c r="H641" s="14">
        <v>24.5052</v>
      </c>
      <c r="I641" s="7">
        <v>25.1871</v>
      </c>
      <c r="J641" s="7">
        <v>26.0297</v>
      </c>
      <c r="K641" s="7"/>
      <c r="L641" s="7"/>
      <c r="M641" s="7"/>
      <c r="N641" s="7">
        <v>25.2028</v>
      </c>
      <c r="O641" s="8">
        <v>21.85</v>
      </c>
      <c r="P641" s="7"/>
      <c r="Q641" s="7">
        <v>10.4315</v>
      </c>
      <c r="R641" s="12">
        <v>10.4315</v>
      </c>
      <c r="S641" s="8"/>
    </row>
    <row r="642" spans="1:19" s="12" customFormat="1" ht="16.5" customHeight="1">
      <c r="A642" s="3"/>
      <c r="B642" s="13" t="s">
        <v>364</v>
      </c>
      <c r="C642" s="7">
        <v>25.1557</v>
      </c>
      <c r="D642" s="7">
        <v>24.7066</v>
      </c>
      <c r="E642" s="7">
        <v>25.0556</v>
      </c>
      <c r="F642" s="7">
        <v>24.8673</v>
      </c>
      <c r="G642" s="7">
        <v>22.7709</v>
      </c>
      <c r="H642" s="14">
        <v>24.832</v>
      </c>
      <c r="I642" s="7">
        <v>26.002</v>
      </c>
      <c r="J642" s="7">
        <v>26.9076</v>
      </c>
      <c r="K642" s="7"/>
      <c r="L642" s="7"/>
      <c r="M642" s="7"/>
      <c r="N642" s="7">
        <v>26.0037</v>
      </c>
      <c r="O642" s="8">
        <v>22.5011</v>
      </c>
      <c r="P642" s="7"/>
      <c r="Q642" s="7">
        <v>10.4315</v>
      </c>
      <c r="R642" s="12">
        <v>10.4315</v>
      </c>
      <c r="S642" s="8"/>
    </row>
    <row r="643" spans="1:19" s="12" customFormat="1" ht="16.5" customHeight="1">
      <c r="A643" s="3"/>
      <c r="B643" s="13" t="s">
        <v>365</v>
      </c>
      <c r="C643" s="7">
        <v>25.2715</v>
      </c>
      <c r="D643" s="7">
        <v>24.8179</v>
      </c>
      <c r="E643" s="7">
        <v>25.1599</v>
      </c>
      <c r="F643" s="7">
        <v>24.9601</v>
      </c>
      <c r="G643" s="7">
        <v>22.7882</v>
      </c>
      <c r="H643" s="14">
        <v>24.9322</v>
      </c>
      <c r="I643" s="7">
        <v>25.7017</v>
      </c>
      <c r="J643" s="7">
        <v>26.7291</v>
      </c>
      <c r="K643" s="7"/>
      <c r="L643" s="7"/>
      <c r="M643" s="7"/>
      <c r="N643" s="7">
        <v>25.7685</v>
      </c>
      <c r="O643" s="8">
        <v>22.7269</v>
      </c>
      <c r="P643" s="7"/>
      <c r="Q643" s="7">
        <v>10.4315</v>
      </c>
      <c r="R643" s="12">
        <v>10.4315</v>
      </c>
      <c r="S643" s="8">
        <v>10.4315</v>
      </c>
    </row>
    <row r="644" spans="1:19" s="12" customFormat="1" ht="16.5" customHeight="1">
      <c r="A644" s="3"/>
      <c r="B644" s="13" t="s">
        <v>366</v>
      </c>
      <c r="C644" s="7">
        <v>25.3588</v>
      </c>
      <c r="D644" s="7">
        <v>24.8874</v>
      </c>
      <c r="E644" s="7">
        <v>25.2367</v>
      </c>
      <c r="F644" s="7">
        <v>25.0271</v>
      </c>
      <c r="G644" s="7">
        <v>22.8013</v>
      </c>
      <c r="H644" s="14">
        <v>24.9911</v>
      </c>
      <c r="I644" s="7">
        <v>25.2798</v>
      </c>
      <c r="J644" s="7">
        <v>26.2153</v>
      </c>
      <c r="K644" s="7"/>
      <c r="L644" s="7"/>
      <c r="M644" s="7"/>
      <c r="N644" s="7">
        <v>25.2437</v>
      </c>
      <c r="O644" s="8">
        <v>22.4495</v>
      </c>
      <c r="P644" s="7"/>
      <c r="Q644" s="7">
        <v>10.4315</v>
      </c>
      <c r="R644" s="12">
        <v>10.4315</v>
      </c>
      <c r="S644" s="8">
        <v>10.4315</v>
      </c>
    </row>
    <row r="645" spans="1:19" s="12" customFormat="1" ht="16.5" customHeight="1">
      <c r="A645" s="3"/>
      <c r="B645" s="13" t="s">
        <v>367</v>
      </c>
      <c r="C645" s="7">
        <v>25.2736</v>
      </c>
      <c r="D645" s="7">
        <v>24.832</v>
      </c>
      <c r="E645" s="7">
        <v>25.1587</v>
      </c>
      <c r="F645" s="7">
        <v>24.957</v>
      </c>
      <c r="G645" s="7">
        <v>22.7885</v>
      </c>
      <c r="H645" s="14">
        <v>24.9387</v>
      </c>
      <c r="I645" s="7">
        <v>25.1175</v>
      </c>
      <c r="J645" s="7">
        <v>26.1379</v>
      </c>
      <c r="K645" s="7"/>
      <c r="L645" s="7"/>
      <c r="M645" s="7"/>
      <c r="N645" s="7">
        <v>25.0904</v>
      </c>
      <c r="O645" s="8">
        <v>22.2182</v>
      </c>
      <c r="P645" s="7"/>
      <c r="Q645" s="7">
        <v>10.4315</v>
      </c>
      <c r="R645" s="12">
        <v>10.4315</v>
      </c>
      <c r="S645" s="8">
        <v>10.4315</v>
      </c>
    </row>
    <row r="646" spans="1:19" s="12" customFormat="1" ht="16.5" customHeight="1">
      <c r="A646" s="3"/>
      <c r="B646" s="4" t="s">
        <v>13</v>
      </c>
      <c r="C646" s="11">
        <f>(C640*1+C641*7+C642*7+C643*7+C644*7+C645*2)/31</f>
        <v>25.030338709677416</v>
      </c>
      <c r="D646" s="11">
        <f aca="true" t="shared" si="88" ref="D646:O646">(D640*1+D641*7+D642*7+D643*7+D644*7+D645*2)/31</f>
        <v>24.576706451612903</v>
      </c>
      <c r="E646" s="11">
        <f t="shared" si="88"/>
        <v>24.94203548387097</v>
      </c>
      <c r="F646" s="11">
        <f t="shared" si="88"/>
        <v>24.765870967741936</v>
      </c>
      <c r="G646" s="11">
        <f t="shared" si="88"/>
        <v>22.75205806451613</v>
      </c>
      <c r="H646" s="11">
        <f t="shared" si="88"/>
        <v>24.781232258064513</v>
      </c>
      <c r="I646" s="11">
        <f t="shared" si="88"/>
        <v>25.486019354838714</v>
      </c>
      <c r="J646" s="11">
        <f t="shared" si="88"/>
        <v>26.41438709677419</v>
      </c>
      <c r="K646" s="11"/>
      <c r="L646" s="11"/>
      <c r="M646" s="11"/>
      <c r="N646" s="11">
        <f t="shared" si="88"/>
        <v>25.492793548387098</v>
      </c>
      <c r="O646" s="38">
        <f t="shared" si="88"/>
        <v>22.333258064516134</v>
      </c>
      <c r="P646" s="11"/>
      <c r="Q646" s="11">
        <f>(Q640*1+Q641*7+Q642*7+Q643*7+Q644*7+Q645*2)/31</f>
        <v>10.431500000000002</v>
      </c>
      <c r="R646" s="48">
        <f>(R640*1+R641*7+R642*7+R643*7+R644*7+R645*2)/31</f>
        <v>10.431500000000002</v>
      </c>
      <c r="S646" s="38">
        <f>AVERAGE(S643:S645)</f>
        <v>10.4315</v>
      </c>
    </row>
    <row r="647" spans="1:19" s="12" customFormat="1" ht="16.5" customHeight="1">
      <c r="A647" s="3"/>
      <c r="B647" s="13" t="s">
        <v>221</v>
      </c>
      <c r="C647" s="7">
        <v>25.0218</v>
      </c>
      <c r="D647" s="7">
        <v>24.5836</v>
      </c>
      <c r="E647" s="7">
        <v>24.9037</v>
      </c>
      <c r="F647" s="7">
        <v>24.6995</v>
      </c>
      <c r="G647" s="7">
        <v>22.5213</v>
      </c>
      <c r="H647" s="14">
        <v>24.6854</v>
      </c>
      <c r="I647" s="7">
        <v>25.1561</v>
      </c>
      <c r="J647" s="7">
        <v>26.1159</v>
      </c>
      <c r="K647" s="7"/>
      <c r="L647" s="7"/>
      <c r="M647" s="7"/>
      <c r="N647" s="7">
        <v>25.0664</v>
      </c>
      <c r="O647" s="8">
        <v>21.8162</v>
      </c>
      <c r="P647" s="7"/>
      <c r="Q647" s="7">
        <v>10.5528</v>
      </c>
      <c r="R647" s="7">
        <v>10.5528</v>
      </c>
      <c r="S647" s="8">
        <v>10.5528</v>
      </c>
    </row>
    <row r="648" spans="1:19" s="12" customFormat="1" ht="16.5" customHeight="1">
      <c r="A648" s="3"/>
      <c r="B648" s="13" t="s">
        <v>368</v>
      </c>
      <c r="C648" s="7">
        <v>25.3943</v>
      </c>
      <c r="D648" s="7">
        <v>24.9579</v>
      </c>
      <c r="E648" s="7">
        <v>25.2383</v>
      </c>
      <c r="F648" s="7">
        <v>24.9965</v>
      </c>
      <c r="G648" s="7">
        <v>22.5771</v>
      </c>
      <c r="H648" s="14">
        <v>25.0209</v>
      </c>
      <c r="I648" s="7">
        <v>25.6988</v>
      </c>
      <c r="J648" s="7">
        <v>26.6538</v>
      </c>
      <c r="K648" s="7"/>
      <c r="L648" s="7"/>
      <c r="M648" s="7"/>
      <c r="N648" s="7">
        <v>25.6107</v>
      </c>
      <c r="O648" s="8">
        <v>21.9915</v>
      </c>
      <c r="P648" s="7"/>
      <c r="Q648" s="7">
        <v>10.5528</v>
      </c>
      <c r="R648" s="7">
        <v>10.5528</v>
      </c>
      <c r="S648" s="8">
        <v>10.5528</v>
      </c>
    </row>
    <row r="649" spans="1:19" s="12" customFormat="1" ht="16.5" customHeight="1">
      <c r="A649" s="3"/>
      <c r="B649" s="13" t="s">
        <v>370</v>
      </c>
      <c r="C649" s="7">
        <v>25.9324</v>
      </c>
      <c r="D649" s="7">
        <v>25.4956</v>
      </c>
      <c r="E649" s="7">
        <v>25.7225</v>
      </c>
      <c r="F649" s="7">
        <v>25.4269</v>
      </c>
      <c r="G649" s="7">
        <v>22.6579</v>
      </c>
      <c r="H649" s="14">
        <v>25.5047</v>
      </c>
      <c r="I649" s="7">
        <v>25.9429</v>
      </c>
      <c r="J649" s="7">
        <v>26.914</v>
      </c>
      <c r="K649" s="7"/>
      <c r="L649" s="7"/>
      <c r="M649" s="7"/>
      <c r="N649" s="7">
        <v>25.8698</v>
      </c>
      <c r="O649" s="8">
        <v>22.1914</v>
      </c>
      <c r="P649" s="7"/>
      <c r="Q649" s="7">
        <v>10.5528</v>
      </c>
      <c r="R649" s="7">
        <v>10.5528</v>
      </c>
      <c r="S649" s="8">
        <v>10.5528</v>
      </c>
    </row>
    <row r="650" spans="1:19" s="12" customFormat="1" ht="16.5" customHeight="1">
      <c r="A650" s="3"/>
      <c r="B650" s="13" t="s">
        <v>369</v>
      </c>
      <c r="C650" s="7">
        <v>26.1886</v>
      </c>
      <c r="D650" s="7">
        <v>25.755</v>
      </c>
      <c r="E650" s="7">
        <v>25.9518</v>
      </c>
      <c r="F650" s="7">
        <v>25.6299</v>
      </c>
      <c r="G650" s="7">
        <v>22.6963</v>
      </c>
      <c r="H650" s="14">
        <v>25.7357</v>
      </c>
      <c r="I650" s="7">
        <v>26.341</v>
      </c>
      <c r="J650" s="7">
        <v>27.1796</v>
      </c>
      <c r="K650" s="7"/>
      <c r="L650" s="7"/>
      <c r="M650" s="7"/>
      <c r="N650" s="7">
        <v>25.9952</v>
      </c>
      <c r="O650" s="8">
        <v>22.2045</v>
      </c>
      <c r="P650" s="7"/>
      <c r="Q650" s="7">
        <v>10.5528</v>
      </c>
      <c r="R650" s="7">
        <v>10.5528</v>
      </c>
      <c r="S650" s="8">
        <v>10.5528</v>
      </c>
    </row>
    <row r="651" spans="1:19" s="12" customFormat="1" ht="16.5" customHeight="1">
      <c r="A651" s="3"/>
      <c r="B651" s="13" t="s">
        <v>371</v>
      </c>
      <c r="C651" s="7">
        <v>26.3882</v>
      </c>
      <c r="D651" s="7">
        <v>25.9575</v>
      </c>
      <c r="E651" s="7">
        <v>26.1302</v>
      </c>
      <c r="F651" s="7">
        <v>25.7876</v>
      </c>
      <c r="G651" s="7">
        <v>22.7262</v>
      </c>
      <c r="H651" s="14">
        <v>25.9153</v>
      </c>
      <c r="I651" s="7">
        <v>26.5971</v>
      </c>
      <c r="J651" s="7">
        <v>27.3863</v>
      </c>
      <c r="K651" s="7"/>
      <c r="L651" s="7"/>
      <c r="M651" s="7"/>
      <c r="N651" s="7">
        <v>26.1035</v>
      </c>
      <c r="O651" s="8">
        <v>22.3204</v>
      </c>
      <c r="P651" s="7"/>
      <c r="Q651" s="7">
        <v>10.5528</v>
      </c>
      <c r="R651" s="7">
        <v>10.5528</v>
      </c>
      <c r="S651" s="8">
        <v>10.5528</v>
      </c>
    </row>
    <row r="652" spans="1:19" s="12" customFormat="1" ht="16.5" customHeight="1">
      <c r="A652" s="3"/>
      <c r="B652" s="4" t="s">
        <v>13</v>
      </c>
      <c r="C652" s="11">
        <f>(C647*5+C648*7+C649*7+C650*7+C651*4)/29</f>
        <v>26.66444482758621</v>
      </c>
      <c r="D652" s="11">
        <f aca="true" t="shared" si="89" ref="D652:Q652">(D647*5+D648*7+D649*7+D650*7+D651*4)/29</f>
        <v>26.21405172413793</v>
      </c>
      <c r="E652" s="11">
        <f t="shared" si="89"/>
        <v>26.463017241379312</v>
      </c>
      <c r="F652" s="11">
        <f t="shared" si="89"/>
        <v>26.173137931034486</v>
      </c>
      <c r="G652" s="11">
        <f t="shared" si="89"/>
        <v>23.41484137931035</v>
      </c>
      <c r="H652" s="11">
        <f t="shared" si="89"/>
        <v>26.2385275862069</v>
      </c>
      <c r="I652" s="11">
        <f t="shared" si="89"/>
        <v>26.829234482758622</v>
      </c>
      <c r="J652" s="11">
        <f t="shared" si="89"/>
        <v>27.770913793103453</v>
      </c>
      <c r="K652" s="11"/>
      <c r="L652" s="11"/>
      <c r="M652" s="11"/>
      <c r="N652" s="11">
        <f t="shared" si="89"/>
        <v>26.623306896551725</v>
      </c>
      <c r="O652" s="38">
        <f>(O647*5+O648*7+O649*7+O650*7+O651*4)/29</f>
        <v>22.86463448275862</v>
      </c>
      <c r="P652" s="11"/>
      <c r="Q652" s="11">
        <f t="shared" si="89"/>
        <v>10.916689655172414</v>
      </c>
      <c r="R652" s="11">
        <f>(R647*5+R648*7+R649*7+R650*7+R651*4)/29</f>
        <v>10.916689655172414</v>
      </c>
      <c r="S652" s="38">
        <f>(S647*5+S648*7+S649*7+S650*7+S651*4)/29</f>
        <v>10.916689655172414</v>
      </c>
    </row>
    <row r="653" spans="1:19" s="12" customFormat="1" ht="16.5" customHeight="1">
      <c r="A653" s="3"/>
      <c r="B653" s="13" t="s">
        <v>54</v>
      </c>
      <c r="C653" s="7">
        <v>26.2913</v>
      </c>
      <c r="D653" s="7">
        <v>25.8601</v>
      </c>
      <c r="E653" s="7">
        <v>26.0482</v>
      </c>
      <c r="F653" s="7">
        <v>25.7205</v>
      </c>
      <c r="G653" s="7">
        <v>22.7542</v>
      </c>
      <c r="H653" s="14">
        <v>25.8331</v>
      </c>
      <c r="I653" s="7">
        <v>26.2144</v>
      </c>
      <c r="J653" s="7">
        <v>27.0429</v>
      </c>
      <c r="K653" s="7"/>
      <c r="L653" s="7"/>
      <c r="M653" s="7"/>
      <c r="N653" s="7">
        <v>25.7425</v>
      </c>
      <c r="O653" s="8">
        <v>22.0593</v>
      </c>
      <c r="P653" s="7"/>
      <c r="Q653" s="7">
        <v>10.2719</v>
      </c>
      <c r="R653" s="7">
        <v>10.2719</v>
      </c>
      <c r="S653" s="8">
        <v>10.2719</v>
      </c>
    </row>
    <row r="654" spans="1:19" s="12" customFormat="1" ht="16.5" customHeight="1">
      <c r="A654" s="3"/>
      <c r="B654" s="13" t="s">
        <v>222</v>
      </c>
      <c r="C654" s="7">
        <v>26.7313</v>
      </c>
      <c r="D654" s="7">
        <v>26.2976</v>
      </c>
      <c r="E654" s="7">
        <v>26.4452</v>
      </c>
      <c r="F654" s="7">
        <v>26.0741</v>
      </c>
      <c r="G654" s="7">
        <v>22.8202</v>
      </c>
      <c r="H654" s="14">
        <v>26.2289</v>
      </c>
      <c r="I654" s="7">
        <v>26.3933</v>
      </c>
      <c r="J654" s="7">
        <v>27.4097</v>
      </c>
      <c r="K654" s="7"/>
      <c r="L654" s="7"/>
      <c r="M654" s="7"/>
      <c r="N654" s="7">
        <v>26.0817</v>
      </c>
      <c r="O654" s="8">
        <v>22.4444</v>
      </c>
      <c r="P654" s="7"/>
      <c r="Q654" s="7">
        <v>10.2719</v>
      </c>
      <c r="R654" s="7">
        <v>10.2719</v>
      </c>
      <c r="S654" s="8">
        <v>10.2719</v>
      </c>
    </row>
    <row r="655" spans="1:19" s="12" customFormat="1" ht="16.5" customHeight="1">
      <c r="A655" s="3"/>
      <c r="B655" s="13" t="s">
        <v>223</v>
      </c>
      <c r="C655" s="7">
        <v>27.3066</v>
      </c>
      <c r="D655" s="7">
        <v>26.8721</v>
      </c>
      <c r="E655" s="7">
        <v>26.9634</v>
      </c>
      <c r="F655" s="7">
        <v>26.535</v>
      </c>
      <c r="G655" s="7">
        <v>22.9065</v>
      </c>
      <c r="H655" s="14">
        <v>26.7469</v>
      </c>
      <c r="I655" s="7">
        <v>26.8427</v>
      </c>
      <c r="J655" s="7">
        <v>27.8726</v>
      </c>
      <c r="K655" s="7"/>
      <c r="L655" s="7"/>
      <c r="M655" s="7"/>
      <c r="N655" s="7">
        <v>26.5612</v>
      </c>
      <c r="O655" s="8">
        <v>22.5168</v>
      </c>
      <c r="P655" s="7"/>
      <c r="Q655" s="7">
        <v>10.2719</v>
      </c>
      <c r="R655" s="7">
        <v>10.2719</v>
      </c>
      <c r="S655" s="8">
        <v>10.2719</v>
      </c>
    </row>
    <row r="656" spans="1:19" s="12" customFormat="1" ht="16.5" customHeight="1">
      <c r="A656" s="3"/>
      <c r="B656" s="13" t="s">
        <v>224</v>
      </c>
      <c r="C656" s="7">
        <v>27.2388</v>
      </c>
      <c r="D656" s="7">
        <v>26.8043</v>
      </c>
      <c r="E656" s="7">
        <v>26.9028</v>
      </c>
      <c r="F656" s="7">
        <v>26.4812</v>
      </c>
      <c r="G656" s="7">
        <v>22.8963</v>
      </c>
      <c r="H656" s="14">
        <v>26.6866</v>
      </c>
      <c r="I656" s="7">
        <v>26.8458</v>
      </c>
      <c r="J656" s="7">
        <v>27.8186</v>
      </c>
      <c r="K656" s="7"/>
      <c r="L656" s="7"/>
      <c r="M656" s="7"/>
      <c r="N656" s="7">
        <v>26.4935</v>
      </c>
      <c r="O656" s="8">
        <v>22.648</v>
      </c>
      <c r="P656" s="7"/>
      <c r="Q656" s="7">
        <v>10.2719</v>
      </c>
      <c r="R656" s="7">
        <v>10.2719</v>
      </c>
      <c r="S656" s="8">
        <v>10.2719</v>
      </c>
    </row>
    <row r="657" spans="1:19" s="12" customFormat="1" ht="16.5" customHeight="1">
      <c r="A657" s="3"/>
      <c r="B657" s="13" t="s">
        <v>225</v>
      </c>
      <c r="C657" s="7">
        <v>27.3962</v>
      </c>
      <c r="D657" s="7">
        <v>26.9596</v>
      </c>
      <c r="E657" s="7">
        <v>27.0445</v>
      </c>
      <c r="F657" s="7">
        <v>26.6074</v>
      </c>
      <c r="G657" s="7">
        <v>22.9199</v>
      </c>
      <c r="H657" s="14">
        <v>26.8267</v>
      </c>
      <c r="I657" s="7">
        <v>26.8811</v>
      </c>
      <c r="J657" s="7">
        <v>27.8256</v>
      </c>
      <c r="K657" s="7"/>
      <c r="L657" s="7"/>
      <c r="M657" s="7"/>
      <c r="N657" s="7">
        <v>26.5175</v>
      </c>
      <c r="O657" s="8">
        <v>22.6695</v>
      </c>
      <c r="P657" s="7"/>
      <c r="Q657" s="7">
        <v>10.2719</v>
      </c>
      <c r="R657" s="7">
        <v>10.2719</v>
      </c>
      <c r="S657" s="8">
        <v>10.2719</v>
      </c>
    </row>
    <row r="658" spans="1:19" s="12" customFormat="1" ht="16.5" customHeight="1">
      <c r="A658" s="3"/>
      <c r="B658" s="4" t="s">
        <v>13</v>
      </c>
      <c r="C658" s="11">
        <f>(C653*4+C654*7+C655*7+C656*7+C657*6)/31</f>
        <v>27.047719354838712</v>
      </c>
      <c r="D658" s="11">
        <f aca="true" t="shared" si="90" ref="D658:S658">(D653*4+D654*7+D655*7+D656*7+D657*6)/31</f>
        <v>26.613419354838708</v>
      </c>
      <c r="E658" s="11">
        <f t="shared" si="90"/>
        <v>26.730309677419353</v>
      </c>
      <c r="F658" s="11">
        <f t="shared" si="90"/>
        <v>26.3276935483871</v>
      </c>
      <c r="G658" s="11">
        <f t="shared" si="90"/>
        <v>22.867651612903227</v>
      </c>
      <c r="H658" s="11">
        <f t="shared" si="90"/>
        <v>26.513851612903224</v>
      </c>
      <c r="I658" s="11">
        <f t="shared" si="90"/>
        <v>26.668283870967745</v>
      </c>
      <c r="J658" s="11">
        <f t="shared" si="90"/>
        <v>27.63972580645161</v>
      </c>
      <c r="K658" s="11"/>
      <c r="L658" s="11"/>
      <c r="M658" s="11"/>
      <c r="N658" s="11">
        <f t="shared" si="90"/>
        <v>26.32354193548387</v>
      </c>
      <c r="O658" s="38">
        <f t="shared" si="90"/>
        <v>22.500600000000002</v>
      </c>
      <c r="P658" s="11"/>
      <c r="Q658" s="11">
        <f t="shared" si="90"/>
        <v>10.2719</v>
      </c>
      <c r="R658" s="11">
        <f t="shared" si="90"/>
        <v>10.2719</v>
      </c>
      <c r="S658" s="38">
        <f t="shared" si="90"/>
        <v>10.2719</v>
      </c>
    </row>
    <row r="659" spans="1:19" s="12" customFormat="1" ht="16.5" customHeight="1">
      <c r="A659" s="3"/>
      <c r="B659" s="13" t="s">
        <v>226</v>
      </c>
      <c r="C659" s="7">
        <v>27.3647</v>
      </c>
      <c r="D659" s="7">
        <v>26.9291</v>
      </c>
      <c r="E659" s="7">
        <v>26.8327</v>
      </c>
      <c r="F659" s="7">
        <v>26.2148</v>
      </c>
      <c r="G659" s="7">
        <v>21.3512</v>
      </c>
      <c r="H659" s="14">
        <v>26.616</v>
      </c>
      <c r="I659" s="7">
        <v>26.7797</v>
      </c>
      <c r="J659" s="7">
        <v>27.7217</v>
      </c>
      <c r="K659" s="7"/>
      <c r="L659" s="7"/>
      <c r="M659" s="7"/>
      <c r="N659" s="7">
        <v>26.4065</v>
      </c>
      <c r="O659" s="8">
        <v>22.5487</v>
      </c>
      <c r="P659" s="7"/>
      <c r="Q659" s="7">
        <v>10.259</v>
      </c>
      <c r="R659" s="7">
        <v>10.259</v>
      </c>
      <c r="S659" s="8">
        <v>10.259</v>
      </c>
    </row>
    <row r="660" spans="1:19" s="12" customFormat="1" ht="16.5" customHeight="1">
      <c r="A660" s="3"/>
      <c r="B660" s="13" t="s">
        <v>227</v>
      </c>
      <c r="C660" s="7">
        <v>27.7621</v>
      </c>
      <c r="D660" s="7">
        <v>27.3173</v>
      </c>
      <c r="E660" s="7">
        <v>27.1907</v>
      </c>
      <c r="F660" s="7">
        <v>26.5334</v>
      </c>
      <c r="G660" s="7">
        <v>21.4108</v>
      </c>
      <c r="H660" s="14">
        <v>26.9662</v>
      </c>
      <c r="I660" s="7">
        <v>26.824</v>
      </c>
      <c r="J660" s="7">
        <v>27.8027</v>
      </c>
      <c r="K660" s="7"/>
      <c r="L660" s="7"/>
      <c r="M660" s="7"/>
      <c r="N660" s="7">
        <v>26.4478</v>
      </c>
      <c r="O660" s="8">
        <v>22.5812</v>
      </c>
      <c r="P660" s="7"/>
      <c r="Q660" s="7">
        <v>10.259</v>
      </c>
      <c r="R660" s="7">
        <v>10.259</v>
      </c>
      <c r="S660" s="8">
        <v>10.259</v>
      </c>
    </row>
    <row r="661" spans="1:19" s="12" customFormat="1" ht="16.5" customHeight="1">
      <c r="A661" s="3"/>
      <c r="B661" s="13" t="s">
        <v>228</v>
      </c>
      <c r="C661" s="7">
        <v>27.2907</v>
      </c>
      <c r="D661" s="7">
        <v>26.7986</v>
      </c>
      <c r="E661" s="7">
        <v>26.7664</v>
      </c>
      <c r="F661" s="7">
        <v>26.1562</v>
      </c>
      <c r="G661" s="7">
        <v>21.3401</v>
      </c>
      <c r="H661" s="14">
        <v>26.4993</v>
      </c>
      <c r="I661" s="7">
        <v>26.3182</v>
      </c>
      <c r="J661" s="7">
        <v>27.429</v>
      </c>
      <c r="K661" s="7"/>
      <c r="L661" s="7"/>
      <c r="M661" s="7"/>
      <c r="N661" s="7">
        <v>25.9889</v>
      </c>
      <c r="O661" s="8">
        <v>22.2365</v>
      </c>
      <c r="P661" s="7"/>
      <c r="Q661" s="7">
        <v>10.259</v>
      </c>
      <c r="R661" s="7">
        <v>10.259</v>
      </c>
      <c r="S661" s="8">
        <v>10.259</v>
      </c>
    </row>
    <row r="662" spans="1:19" s="12" customFormat="1" ht="16.5" customHeight="1">
      <c r="A662" s="3"/>
      <c r="B662" s="13" t="s">
        <v>229</v>
      </c>
      <c r="C662" s="7">
        <v>26.93</v>
      </c>
      <c r="D662" s="7">
        <v>26.4391</v>
      </c>
      <c r="E662" s="7">
        <v>26.4414</v>
      </c>
      <c r="F662" s="7">
        <v>25.8671</v>
      </c>
      <c r="G662" s="7">
        <v>21.286</v>
      </c>
      <c r="H662" s="14">
        <v>26.175</v>
      </c>
      <c r="I662" s="7">
        <v>26.112</v>
      </c>
      <c r="J662" s="7">
        <v>27.1082</v>
      </c>
      <c r="K662" s="7"/>
      <c r="L662" s="7"/>
      <c r="M662" s="7"/>
      <c r="N662" s="7">
        <v>25.6452</v>
      </c>
      <c r="O662" s="8">
        <v>21.979</v>
      </c>
      <c r="P662" s="7"/>
      <c r="Q662" s="7">
        <v>10.259</v>
      </c>
      <c r="R662" s="7">
        <v>10.259</v>
      </c>
      <c r="S662" s="8">
        <v>10.259</v>
      </c>
    </row>
    <row r="663" spans="1:19" s="12" customFormat="1" ht="16.5" customHeight="1">
      <c r="A663" s="3"/>
      <c r="B663" s="13" t="s">
        <v>118</v>
      </c>
      <c r="C663" s="7">
        <v>26.7585</v>
      </c>
      <c r="D663" s="7">
        <v>26.2663</v>
      </c>
      <c r="E663" s="7">
        <v>26.2875</v>
      </c>
      <c r="F663" s="7">
        <v>25.7306</v>
      </c>
      <c r="G663" s="7">
        <v>21.2603</v>
      </c>
      <c r="H663" s="14">
        <v>26.0205</v>
      </c>
      <c r="I663" s="7">
        <v>26.1522</v>
      </c>
      <c r="J663" s="7">
        <v>27.1599</v>
      </c>
      <c r="K663" s="7"/>
      <c r="L663" s="7"/>
      <c r="M663" s="7"/>
      <c r="N663" s="7">
        <v>25.7579</v>
      </c>
      <c r="O663" s="8">
        <v>22.0351</v>
      </c>
      <c r="P663" s="7"/>
      <c r="Q663" s="7">
        <v>10.259</v>
      </c>
      <c r="R663" s="7">
        <v>10.259</v>
      </c>
      <c r="S663" s="8">
        <v>10.259</v>
      </c>
    </row>
    <row r="664" spans="1:19" s="12" customFormat="1" ht="16.5" customHeight="1">
      <c r="A664" s="3"/>
      <c r="B664" s="13" t="s">
        <v>120</v>
      </c>
      <c r="C664" s="7">
        <v>26.9701</v>
      </c>
      <c r="D664" s="7">
        <v>26.4791</v>
      </c>
      <c r="E664" s="7">
        <v>26.4775</v>
      </c>
      <c r="F664" s="7">
        <v>25.8992</v>
      </c>
      <c r="G664" s="7">
        <v>21.292</v>
      </c>
      <c r="H664" s="14">
        <v>26.2111</v>
      </c>
      <c r="I664" s="7">
        <v>26.1649</v>
      </c>
      <c r="J664" s="7">
        <v>27.1841</v>
      </c>
      <c r="K664" s="7"/>
      <c r="L664" s="7"/>
      <c r="M664" s="7"/>
      <c r="N664" s="7">
        <v>25.7883</v>
      </c>
      <c r="O664" s="8">
        <v>22.0927</v>
      </c>
      <c r="P664" s="7"/>
      <c r="Q664" s="7">
        <v>10.259</v>
      </c>
      <c r="R664" s="7">
        <v>10.259</v>
      </c>
      <c r="S664" s="8">
        <v>10.259</v>
      </c>
    </row>
    <row r="665" spans="1:19" s="12" customFormat="1" ht="16.5" customHeight="1">
      <c r="A665" s="3"/>
      <c r="B665" s="4" t="s">
        <v>13</v>
      </c>
      <c r="C665" s="11">
        <f>(C659*1+C660*7+C661*7+C662*7+C663*7+C664*1)/30</f>
        <v>27.184129999999996</v>
      </c>
      <c r="D665" s="11">
        <f aca="true" t="shared" si="91" ref="D665:S665">(D659*1+D660*7+D661*7+D662*7+D663*7+D664*1)/30</f>
        <v>26.705243333333335</v>
      </c>
      <c r="E665" s="11">
        <f t="shared" si="91"/>
        <v>26.67040666666667</v>
      </c>
      <c r="F665" s="11">
        <f t="shared" si="91"/>
        <v>26.07083666666666</v>
      </c>
      <c r="G665" s="11">
        <f t="shared" si="91"/>
        <v>21.32412</v>
      </c>
      <c r="H665" s="11">
        <f t="shared" si="91"/>
        <v>26.41513666666667</v>
      </c>
      <c r="I665" s="11">
        <f t="shared" si="91"/>
        <v>26.359646666666663</v>
      </c>
      <c r="J665" s="11">
        <f t="shared" si="91"/>
        <v>27.380146666666665</v>
      </c>
      <c r="K665" s="11"/>
      <c r="L665" s="11"/>
      <c r="M665" s="11"/>
      <c r="N665" s="11">
        <f t="shared" si="91"/>
        <v>25.969113333333333</v>
      </c>
      <c r="O665" s="38">
        <f t="shared" si="91"/>
        <v>22.215466666666668</v>
      </c>
      <c r="P665" s="11"/>
      <c r="Q665" s="11">
        <f t="shared" si="91"/>
        <v>10.258999999999999</v>
      </c>
      <c r="R665" s="11">
        <f t="shared" si="91"/>
        <v>10.258999999999999</v>
      </c>
      <c r="S665" s="38">
        <f t="shared" si="91"/>
        <v>10.258999999999999</v>
      </c>
    </row>
    <row r="666" spans="1:19" s="12" customFormat="1" ht="16.5" customHeight="1">
      <c r="A666" s="3"/>
      <c r="B666" s="13" t="s">
        <v>230</v>
      </c>
      <c r="C666" s="7">
        <v>26.5959</v>
      </c>
      <c r="D666" s="7">
        <v>26.1055</v>
      </c>
      <c r="E666" s="7">
        <v>26.1555</v>
      </c>
      <c r="F666" s="7">
        <v>25.6295</v>
      </c>
      <c r="G666" s="7">
        <v>21.3634</v>
      </c>
      <c r="H666" s="14">
        <v>25.8895</v>
      </c>
      <c r="I666" s="7">
        <v>26.0322</v>
      </c>
      <c r="J666" s="7">
        <v>27.038</v>
      </c>
      <c r="K666" s="7"/>
      <c r="L666" s="7"/>
      <c r="M666" s="7"/>
      <c r="N666" s="7">
        <v>25.6361</v>
      </c>
      <c r="O666" s="8">
        <v>21.9066</v>
      </c>
      <c r="P666" s="7"/>
      <c r="Q666" s="7">
        <v>10.3254</v>
      </c>
      <c r="R666" s="7">
        <v>10.3254</v>
      </c>
      <c r="S666" s="8">
        <v>10.3254</v>
      </c>
    </row>
    <row r="667" spans="1:19" s="12" customFormat="1" ht="16.5" customHeight="1">
      <c r="A667" s="3"/>
      <c r="B667" s="13" t="s">
        <v>122</v>
      </c>
      <c r="C667" s="7">
        <v>25.3911</v>
      </c>
      <c r="D667" s="7">
        <v>24.9003</v>
      </c>
      <c r="E667" s="7">
        <v>25.0724</v>
      </c>
      <c r="F667" s="7">
        <v>24.6675</v>
      </c>
      <c r="G667" s="7">
        <v>21.1827</v>
      </c>
      <c r="H667" s="14">
        <v>24.8073</v>
      </c>
      <c r="I667" s="7">
        <v>25.1168</v>
      </c>
      <c r="J667" s="7">
        <v>26.1076</v>
      </c>
      <c r="K667" s="7"/>
      <c r="L667" s="7"/>
      <c r="M667" s="7"/>
      <c r="N667" s="7">
        <v>24.6596</v>
      </c>
      <c r="O667" s="8">
        <v>21.7811</v>
      </c>
      <c r="P667" s="7"/>
      <c r="Q667" s="7">
        <v>10.3254</v>
      </c>
      <c r="R667" s="7">
        <v>10.3254</v>
      </c>
      <c r="S667" s="8">
        <v>10.3254</v>
      </c>
    </row>
    <row r="668" spans="1:19" s="12" customFormat="1" ht="16.5" customHeight="1">
      <c r="A668" s="3"/>
      <c r="B668" s="13" t="s">
        <v>124</v>
      </c>
      <c r="C668" s="7">
        <v>24.9062</v>
      </c>
      <c r="D668" s="7">
        <v>24.4143</v>
      </c>
      <c r="E668" s="7">
        <v>24.6378</v>
      </c>
      <c r="F668" s="7">
        <v>24.2823</v>
      </c>
      <c r="G668" s="7">
        <v>21.1099</v>
      </c>
      <c r="H668" s="14">
        <v>24.3733</v>
      </c>
      <c r="I668" s="7">
        <v>24.7407</v>
      </c>
      <c r="J668" s="7">
        <v>25.744</v>
      </c>
      <c r="K668" s="7"/>
      <c r="L668" s="7"/>
      <c r="M668" s="7"/>
      <c r="N668" s="7">
        <v>24.3083</v>
      </c>
      <c r="O668" s="8">
        <v>20.7661</v>
      </c>
      <c r="P668" s="7"/>
      <c r="Q668" s="7">
        <v>10.3254</v>
      </c>
      <c r="R668" s="7">
        <v>10.3254</v>
      </c>
      <c r="S668" s="8">
        <v>10.3254</v>
      </c>
    </row>
    <row r="669" spans="1:19" s="12" customFormat="1" ht="16.5" customHeight="1">
      <c r="A669" s="3"/>
      <c r="B669" s="13" t="s">
        <v>231</v>
      </c>
      <c r="C669" s="7">
        <v>24.3151</v>
      </c>
      <c r="D669" s="7">
        <v>23.8214</v>
      </c>
      <c r="E669" s="7">
        <v>24.1065</v>
      </c>
      <c r="F669" s="7">
        <v>23.8105</v>
      </c>
      <c r="G669" s="7">
        <v>21.0213</v>
      </c>
      <c r="H669" s="14">
        <v>23.8412</v>
      </c>
      <c r="I669" s="7">
        <v>24.2162</v>
      </c>
      <c r="J669" s="7">
        <v>25.1655</v>
      </c>
      <c r="K669" s="7"/>
      <c r="L669" s="7"/>
      <c r="M669" s="7"/>
      <c r="N669" s="7">
        <v>23.7799</v>
      </c>
      <c r="O669" s="8">
        <v>20.4691</v>
      </c>
      <c r="P669" s="7"/>
      <c r="Q669" s="7">
        <v>10.3254</v>
      </c>
      <c r="R669" s="7">
        <v>10.3254</v>
      </c>
      <c r="S669" s="8">
        <v>10.3254</v>
      </c>
    </row>
    <row r="670" spans="1:19" s="12" customFormat="1" ht="16.5" customHeight="1">
      <c r="A670" s="3"/>
      <c r="B670" s="13" t="s">
        <v>232</v>
      </c>
      <c r="C670" s="7">
        <v>24.4986</v>
      </c>
      <c r="D670" s="7">
        <v>24.0015</v>
      </c>
      <c r="E670" s="7">
        <v>24.2729</v>
      </c>
      <c r="F670" s="7">
        <v>23.9592</v>
      </c>
      <c r="G670" s="7">
        <v>21.0488</v>
      </c>
      <c r="H670" s="14">
        <v>24.0057</v>
      </c>
      <c r="I670" s="7">
        <v>24.3139</v>
      </c>
      <c r="J670" s="7">
        <v>25.1622</v>
      </c>
      <c r="K670" s="7"/>
      <c r="L670" s="7"/>
      <c r="M670" s="7"/>
      <c r="N670" s="7">
        <v>23.8091</v>
      </c>
      <c r="O670" s="8">
        <v>20.6349</v>
      </c>
      <c r="P670" s="7"/>
      <c r="Q670" s="7">
        <v>10.3254</v>
      </c>
      <c r="R670" s="7">
        <v>10.3254</v>
      </c>
      <c r="S670" s="8">
        <v>10.3254</v>
      </c>
    </row>
    <row r="671" spans="1:19" s="12" customFormat="1" ht="16.5" customHeight="1">
      <c r="A671" s="3"/>
      <c r="B671" s="4" t="s">
        <v>13</v>
      </c>
      <c r="C671" s="11">
        <f>(C666*6+C667*7+C668*7+C669*7+C670*4)/31</f>
        <v>25.156664516129034</v>
      </c>
      <c r="D671" s="11">
        <f aca="true" t="shared" si="92" ref="D671:S671">(D666*6+D667*7+D668*7+D669*7+D670*4)/31</f>
        <v>24.664225806451615</v>
      </c>
      <c r="E671" s="11">
        <f t="shared" si="92"/>
        <v>24.862629032258063</v>
      </c>
      <c r="F671" s="11">
        <f t="shared" si="92"/>
        <v>24.481803225806452</v>
      </c>
      <c r="G671" s="11">
        <f t="shared" si="92"/>
        <v>21.147512903225806</v>
      </c>
      <c r="H671" s="11">
        <f t="shared" si="92"/>
        <v>24.59717419354839</v>
      </c>
      <c r="I671" s="11">
        <f>(I666*6+I667*7+I668*7+I669*7+I670*4)/31</f>
        <v>24.902087096774192</v>
      </c>
      <c r="J671" s="11">
        <f t="shared" si="92"/>
        <v>25.870854838709676</v>
      </c>
      <c r="K671" s="11"/>
      <c r="L671" s="11"/>
      <c r="M671" s="11"/>
      <c r="N671" s="11">
        <f t="shared" si="92"/>
        <v>24.460890322580646</v>
      </c>
      <c r="O671" s="38">
        <f t="shared" si="92"/>
        <v>21.132041935483866</v>
      </c>
      <c r="P671" s="11"/>
      <c r="Q671" s="11">
        <f t="shared" si="92"/>
        <v>10.3254</v>
      </c>
      <c r="R671" s="11">
        <f t="shared" si="92"/>
        <v>10.3254</v>
      </c>
      <c r="S671" s="38">
        <f t="shared" si="92"/>
        <v>10.3254</v>
      </c>
    </row>
    <row r="672" spans="1:19" s="12" customFormat="1" ht="16.5" customHeight="1">
      <c r="A672" s="3"/>
      <c r="B672" s="13" t="s">
        <v>233</v>
      </c>
      <c r="C672" s="7">
        <v>23.9445</v>
      </c>
      <c r="D672" s="7">
        <v>23.4481</v>
      </c>
      <c r="E672" s="7">
        <v>23.746</v>
      </c>
      <c r="F672" s="7">
        <v>23.4596</v>
      </c>
      <c r="G672" s="7">
        <v>20.7277</v>
      </c>
      <c r="H672" s="14">
        <v>23.4793</v>
      </c>
      <c r="I672" s="7">
        <v>23.5429</v>
      </c>
      <c r="J672" s="7">
        <v>24.4913</v>
      </c>
      <c r="K672" s="7"/>
      <c r="L672" s="7"/>
      <c r="M672" s="7"/>
      <c r="N672" s="7">
        <v>23.1069</v>
      </c>
      <c r="O672" s="8">
        <v>19.975</v>
      </c>
      <c r="P672" s="7"/>
      <c r="Q672" s="7">
        <v>10.474</v>
      </c>
      <c r="R672" s="7">
        <v>10.474</v>
      </c>
      <c r="S672" s="8">
        <v>10.474</v>
      </c>
    </row>
    <row r="673" spans="1:19" s="12" customFormat="1" ht="16.5" customHeight="1">
      <c r="A673" s="3"/>
      <c r="B673" s="13" t="s">
        <v>234</v>
      </c>
      <c r="C673" s="7">
        <v>23.002</v>
      </c>
      <c r="D673" s="7">
        <v>22.5064</v>
      </c>
      <c r="E673" s="7">
        <v>22.8977</v>
      </c>
      <c r="F673" s="7">
        <v>22.7054</v>
      </c>
      <c r="G673" s="7">
        <v>20.5863</v>
      </c>
      <c r="H673" s="14">
        <v>22.6315</v>
      </c>
      <c r="I673" s="7">
        <v>22.732</v>
      </c>
      <c r="J673" s="7">
        <v>23.8346</v>
      </c>
      <c r="K673" s="7"/>
      <c r="L673" s="7"/>
      <c r="M673" s="7"/>
      <c r="N673" s="7">
        <v>22.4172</v>
      </c>
      <c r="O673" s="8">
        <v>18.9468</v>
      </c>
      <c r="P673" s="7"/>
      <c r="Q673" s="7">
        <v>10.474</v>
      </c>
      <c r="R673" s="7">
        <v>10.474</v>
      </c>
      <c r="S673" s="8">
        <v>10.474</v>
      </c>
    </row>
    <row r="674" spans="1:19" s="12" customFormat="1" ht="16.5" customHeight="1">
      <c r="A674" s="3"/>
      <c r="B674" s="13" t="s">
        <v>235</v>
      </c>
      <c r="C674" s="7">
        <v>22.1589</v>
      </c>
      <c r="D674" s="7">
        <v>21.664</v>
      </c>
      <c r="E674" s="7">
        <v>22.1387</v>
      </c>
      <c r="F674" s="7">
        <v>22.0307</v>
      </c>
      <c r="G674" s="7">
        <v>20.4598</v>
      </c>
      <c r="H674" s="14">
        <v>21.8731</v>
      </c>
      <c r="I674" s="7">
        <v>22.6002</v>
      </c>
      <c r="J674" s="7">
        <v>23.6311</v>
      </c>
      <c r="K674" s="7"/>
      <c r="L674" s="7"/>
      <c r="M674" s="7"/>
      <c r="N674" s="7">
        <v>22.2227</v>
      </c>
      <c r="O674" s="8">
        <v>19.0615</v>
      </c>
      <c r="P674" s="7"/>
      <c r="Q674" s="7">
        <v>10.474</v>
      </c>
      <c r="R674" s="7">
        <v>10.474</v>
      </c>
      <c r="S674" s="8">
        <v>10.474</v>
      </c>
    </row>
    <row r="675" spans="1:19" s="12" customFormat="1" ht="16.5" customHeight="1">
      <c r="A675" s="3"/>
      <c r="B675" s="13" t="s">
        <v>236</v>
      </c>
      <c r="C675" s="7">
        <v>21.1091</v>
      </c>
      <c r="D675" s="7">
        <v>20.6154</v>
      </c>
      <c r="E675" s="7">
        <v>21.1937</v>
      </c>
      <c r="F675" s="7">
        <v>21.1905</v>
      </c>
      <c r="G675" s="7">
        <v>20.3024</v>
      </c>
      <c r="H675" s="14">
        <v>20.9288</v>
      </c>
      <c r="I675" s="7">
        <v>22.2201</v>
      </c>
      <c r="J675" s="7">
        <v>23.2364</v>
      </c>
      <c r="K675" s="7"/>
      <c r="L675" s="7"/>
      <c r="M675" s="7"/>
      <c r="N675" s="7">
        <v>21.7865</v>
      </c>
      <c r="O675" s="8">
        <v>18.6721</v>
      </c>
      <c r="P675" s="7"/>
      <c r="Q675" s="7">
        <v>10.474</v>
      </c>
      <c r="R675" s="7">
        <v>10.474</v>
      </c>
      <c r="S675" s="8">
        <v>10.474</v>
      </c>
    </row>
    <row r="676" spans="1:19" s="12" customFormat="1" ht="16.5" customHeight="1">
      <c r="A676" s="3"/>
      <c r="B676" s="13" t="s">
        <v>132</v>
      </c>
      <c r="C676" s="7">
        <v>20.8452</v>
      </c>
      <c r="D676" s="7">
        <v>20.3472</v>
      </c>
      <c r="E676" s="7">
        <v>20.9578</v>
      </c>
      <c r="F676" s="7">
        <v>20.9818</v>
      </c>
      <c r="G676" s="7">
        <v>20.2628</v>
      </c>
      <c r="H676" s="14">
        <v>20.6907</v>
      </c>
      <c r="I676" s="7">
        <v>21.9104</v>
      </c>
      <c r="J676" s="7">
        <v>22.9434</v>
      </c>
      <c r="K676" s="7"/>
      <c r="L676" s="7"/>
      <c r="M676" s="7"/>
      <c r="N676" s="7">
        <v>21.4531</v>
      </c>
      <c r="O676" s="8">
        <v>18.259</v>
      </c>
      <c r="P676" s="7"/>
      <c r="Q676" s="7">
        <v>10.474</v>
      </c>
      <c r="R676" s="7">
        <v>10.474</v>
      </c>
      <c r="S676" s="8">
        <v>10.474</v>
      </c>
    </row>
    <row r="677" spans="1:19" s="12" customFormat="1" ht="16.5" customHeight="1">
      <c r="A677" s="3"/>
      <c r="B677" s="4" t="s">
        <v>13</v>
      </c>
      <c r="C677" s="11">
        <f>(C672*3+C673*7+C674*7+C675*7+C676*6)/30</f>
        <v>22.02649</v>
      </c>
      <c r="D677" s="11">
        <f aca="true" t="shared" si="93" ref="D677:S677">(D672*3+D673*7+D674*7+D675*7+D676*6)/30</f>
        <v>21.53093666666667</v>
      </c>
      <c r="E677" s="11">
        <f>(E672*3+E673*7+E674*7+E675*7+E676*6)/30</f>
        <v>22.01985</v>
      </c>
      <c r="F677" s="11">
        <f t="shared" si="93"/>
        <v>21.925193333333333</v>
      </c>
      <c r="G677" s="11">
        <f t="shared" si="93"/>
        <v>20.43998</v>
      </c>
      <c r="H677" s="11">
        <f t="shared" si="93"/>
        <v>21.753863333333335</v>
      </c>
      <c r="I677" s="11">
        <f t="shared" si="93"/>
        <v>22.498573333333336</v>
      </c>
      <c r="J677" s="11">
        <f t="shared" si="93"/>
        <v>23.534966666666666</v>
      </c>
      <c r="K677" s="11"/>
      <c r="L677" s="11"/>
      <c r="M677" s="11"/>
      <c r="N677" s="11">
        <f t="shared" si="93"/>
        <v>22.100803333333335</v>
      </c>
      <c r="O677" s="38">
        <f t="shared" si="93"/>
        <v>18.874726666666668</v>
      </c>
      <c r="P677" s="11"/>
      <c r="Q677" s="11">
        <f t="shared" si="93"/>
        <v>10.473999999999998</v>
      </c>
      <c r="R677" s="11">
        <f t="shared" si="93"/>
        <v>10.473999999999998</v>
      </c>
      <c r="S677" s="38">
        <f t="shared" si="93"/>
        <v>10.473999999999998</v>
      </c>
    </row>
    <row r="678" spans="1:19" s="12" customFormat="1" ht="16.5" customHeight="1">
      <c r="A678" s="3"/>
      <c r="B678" s="13" t="s">
        <v>238</v>
      </c>
      <c r="C678" s="7">
        <v>21.1861</v>
      </c>
      <c r="D678" s="7">
        <v>20.6883</v>
      </c>
      <c r="E678" s="7">
        <v>21.3114</v>
      </c>
      <c r="F678" s="7">
        <v>21.3483</v>
      </c>
      <c r="G678" s="7">
        <v>20.7134</v>
      </c>
      <c r="H678" s="14">
        <v>21.0444</v>
      </c>
      <c r="I678" s="7">
        <v>22.1556</v>
      </c>
      <c r="J678" s="7">
        <v>23.2315</v>
      </c>
      <c r="K678" s="7"/>
      <c r="L678" s="7"/>
      <c r="M678" s="7"/>
      <c r="N678" s="7">
        <v>21.7557</v>
      </c>
      <c r="O678" s="8">
        <v>18.3965</v>
      </c>
      <c r="P678" s="7"/>
      <c r="Q678" s="7">
        <v>10.5795</v>
      </c>
      <c r="R678" s="7">
        <v>10.5795</v>
      </c>
      <c r="S678" s="8">
        <v>10.5795</v>
      </c>
    </row>
    <row r="679" spans="1:19" s="12" customFormat="1" ht="16.5" customHeight="1">
      <c r="A679" s="3"/>
      <c r="B679" s="13" t="s">
        <v>239</v>
      </c>
      <c r="C679" s="7">
        <v>22.0507</v>
      </c>
      <c r="D679" s="7">
        <v>21.5561</v>
      </c>
      <c r="E679" s="7">
        <v>22.0883</v>
      </c>
      <c r="F679" s="7">
        <v>22.0381</v>
      </c>
      <c r="G679" s="7">
        <v>20.8431</v>
      </c>
      <c r="H679" s="14">
        <v>21.8228</v>
      </c>
      <c r="I679" s="7">
        <v>22.8892</v>
      </c>
      <c r="J679" s="7">
        <v>23.9488</v>
      </c>
      <c r="K679" s="7"/>
      <c r="L679" s="7"/>
      <c r="M679" s="7"/>
      <c r="N679" s="7">
        <v>22.4489</v>
      </c>
      <c r="O679" s="8">
        <v>18.9068</v>
      </c>
      <c r="P679" s="7"/>
      <c r="Q679" s="7">
        <v>10.5795</v>
      </c>
      <c r="R679" s="7">
        <v>10.5795</v>
      </c>
      <c r="S679" s="8">
        <v>10.5795</v>
      </c>
    </row>
    <row r="680" spans="1:19" s="12" customFormat="1" ht="16.5" customHeight="1">
      <c r="A680" s="3"/>
      <c r="B680" s="13" t="s">
        <v>240</v>
      </c>
      <c r="C680" s="7">
        <v>22.8299</v>
      </c>
      <c r="D680" s="7">
        <v>22.3801</v>
      </c>
      <c r="E680" s="7">
        <v>22.7903</v>
      </c>
      <c r="F680" s="7">
        <v>22.6626</v>
      </c>
      <c r="G680" s="7">
        <v>20.96</v>
      </c>
      <c r="H680" s="14">
        <v>22.5659</v>
      </c>
      <c r="I680" s="7">
        <v>23.3365</v>
      </c>
      <c r="J680" s="7">
        <v>24.5066</v>
      </c>
      <c r="K680" s="7"/>
      <c r="L680" s="7"/>
      <c r="M680" s="7"/>
      <c r="N680" s="7">
        <v>23.0076</v>
      </c>
      <c r="O680" s="8">
        <v>19.049</v>
      </c>
      <c r="P680" s="7"/>
      <c r="Q680" s="7">
        <v>10.5795</v>
      </c>
      <c r="R680" s="7">
        <v>10.5795</v>
      </c>
      <c r="S680" s="8">
        <v>10.5795</v>
      </c>
    </row>
    <row r="681" spans="1:19" s="12" customFormat="1" ht="16.5" customHeight="1">
      <c r="A681" s="3"/>
      <c r="B681" s="13" t="s">
        <v>241</v>
      </c>
      <c r="C681" s="7">
        <v>24.0109</v>
      </c>
      <c r="D681" s="7">
        <v>23.5616</v>
      </c>
      <c r="E681" s="7">
        <v>23.8528</v>
      </c>
      <c r="F681" s="7">
        <v>23.6068</v>
      </c>
      <c r="G681" s="7">
        <v>21.1371</v>
      </c>
      <c r="H681" s="14">
        <v>23.6285</v>
      </c>
      <c r="I681" s="7">
        <v>24.1205</v>
      </c>
      <c r="J681" s="7">
        <v>25.1177</v>
      </c>
      <c r="K681" s="7"/>
      <c r="L681" s="7"/>
      <c r="M681" s="7"/>
      <c r="N681" s="7">
        <v>23.7421</v>
      </c>
      <c r="O681" s="8">
        <v>19.6885</v>
      </c>
      <c r="P681" s="7"/>
      <c r="Q681" s="7">
        <v>10.5795</v>
      </c>
      <c r="R681" s="7">
        <v>10.5795</v>
      </c>
      <c r="S681" s="8">
        <v>10.5795</v>
      </c>
    </row>
    <row r="682" spans="1:19" s="12" customFormat="1" ht="16.5" customHeight="1">
      <c r="A682" s="3"/>
      <c r="B682" s="13" t="s">
        <v>242</v>
      </c>
      <c r="C682" s="7">
        <v>24.2891</v>
      </c>
      <c r="D682" s="7">
        <v>23.8392</v>
      </c>
      <c r="E682" s="7">
        <v>24.1034</v>
      </c>
      <c r="F682" s="7">
        <v>23.8296</v>
      </c>
      <c r="G682" s="7">
        <v>21.1789</v>
      </c>
      <c r="H682" s="14">
        <v>23.8787</v>
      </c>
      <c r="I682" s="7">
        <v>24.3522</v>
      </c>
      <c r="J682" s="7">
        <v>25.2261</v>
      </c>
      <c r="K682" s="7"/>
      <c r="L682" s="7"/>
      <c r="M682" s="7"/>
      <c r="N682" s="7">
        <v>23.9221</v>
      </c>
      <c r="O682" s="8">
        <v>19.821</v>
      </c>
      <c r="P682" s="7"/>
      <c r="Q682" s="7">
        <v>10.5795</v>
      </c>
      <c r="R682" s="7">
        <v>10.5795</v>
      </c>
      <c r="S682" s="8">
        <v>10.5795</v>
      </c>
    </row>
    <row r="683" spans="1:19" s="12" customFormat="1" ht="16.5" customHeight="1">
      <c r="A683" s="3"/>
      <c r="B683" s="13" t="s">
        <v>243</v>
      </c>
      <c r="C683" s="7">
        <v>24.1811</v>
      </c>
      <c r="D683" s="7">
        <v>23.7329</v>
      </c>
      <c r="E683" s="7">
        <v>24.0055</v>
      </c>
      <c r="F683" s="7">
        <v>23.7421</v>
      </c>
      <c r="G683" s="7">
        <v>21.1627</v>
      </c>
      <c r="H683" s="14">
        <v>23.7816</v>
      </c>
      <c r="I683" s="7">
        <v>24.4212</v>
      </c>
      <c r="J683" s="7">
        <v>25.2673</v>
      </c>
      <c r="K683" s="7"/>
      <c r="L683" s="7"/>
      <c r="M683" s="7"/>
      <c r="N683" s="7">
        <v>24.0017</v>
      </c>
      <c r="O683" s="8">
        <v>20.0103</v>
      </c>
      <c r="P683" s="7"/>
      <c r="Q683" s="7">
        <v>10.5795</v>
      </c>
      <c r="R683" s="7">
        <v>10.5795</v>
      </c>
      <c r="S683" s="8">
        <v>10.5795</v>
      </c>
    </row>
    <row r="684" spans="1:19" s="12" customFormat="1" ht="16.5" customHeight="1">
      <c r="A684" s="3"/>
      <c r="B684" s="4" t="s">
        <v>13</v>
      </c>
      <c r="C684" s="11">
        <f>(C678*1+C679*7+C680*7+C681*7+C682*7+C683*2)/31</f>
        <v>23.284274193548388</v>
      </c>
      <c r="D684" s="11">
        <f aca="true" t="shared" si="94" ref="D684:S684">(D678*1+D679*7+D680*7+D681*7+D682*7+D683*2)/31</f>
        <v>22.82300322580645</v>
      </c>
      <c r="E684" s="11">
        <f t="shared" si="94"/>
        <v>23.19890322580645</v>
      </c>
      <c r="F684" s="11">
        <f t="shared" si="94"/>
        <v>23.025554838709677</v>
      </c>
      <c r="G684" s="11">
        <f t="shared" si="94"/>
        <v>21.028145161290322</v>
      </c>
      <c r="H684" s="11">
        <f t="shared" si="94"/>
        <v>22.96383548387097</v>
      </c>
      <c r="I684" s="11">
        <f t="shared" si="94"/>
        <v>23.673767741935485</v>
      </c>
      <c r="J684" s="11">
        <f t="shared" si="94"/>
        <v>24.689048387096776</v>
      </c>
      <c r="K684" s="11"/>
      <c r="L684" s="11"/>
      <c r="M684" s="11"/>
      <c r="N684" s="11">
        <f t="shared" si="94"/>
        <v>23.277548387096775</v>
      </c>
      <c r="O684" s="38">
        <f t="shared" si="94"/>
        <v>19.37658709677419</v>
      </c>
      <c r="P684" s="11"/>
      <c r="Q684" s="11">
        <f t="shared" si="94"/>
        <v>10.5795</v>
      </c>
      <c r="R684" s="11">
        <f t="shared" si="94"/>
        <v>10.5795</v>
      </c>
      <c r="S684" s="38">
        <f t="shared" si="94"/>
        <v>10.5795</v>
      </c>
    </row>
    <row r="685" spans="1:19" s="12" customFormat="1" ht="16.5" customHeight="1">
      <c r="A685" s="3"/>
      <c r="B685" s="13" t="s">
        <v>244</v>
      </c>
      <c r="C685" s="7">
        <v>24.9097</v>
      </c>
      <c r="D685" s="7">
        <v>24.4617</v>
      </c>
      <c r="E685" s="7">
        <v>24.6421</v>
      </c>
      <c r="F685" s="7">
        <v>24.2868</v>
      </c>
      <c r="G685" s="7">
        <v>21.1105</v>
      </c>
      <c r="H685" s="14">
        <v>24.4182</v>
      </c>
      <c r="I685" s="7">
        <v>24.4438</v>
      </c>
      <c r="J685" s="7">
        <v>25.3087</v>
      </c>
      <c r="K685" s="7"/>
      <c r="L685" s="7"/>
      <c r="M685" s="7"/>
      <c r="N685" s="7">
        <v>24.0454</v>
      </c>
      <c r="O685" s="8">
        <v>19.9835</v>
      </c>
      <c r="P685" s="7"/>
      <c r="Q685" s="7">
        <v>10.5794</v>
      </c>
      <c r="R685" s="7">
        <v>10.5794</v>
      </c>
      <c r="S685" s="8">
        <v>10.5794</v>
      </c>
    </row>
    <row r="686" spans="1:19" s="12" customFormat="1" ht="16.5" customHeight="1">
      <c r="A686" s="3"/>
      <c r="B686" s="13" t="s">
        <v>245</v>
      </c>
      <c r="C686" s="7">
        <v>25.9007</v>
      </c>
      <c r="D686" s="7">
        <v>25.4547</v>
      </c>
      <c r="E686" s="7">
        <v>25.5335</v>
      </c>
      <c r="F686" s="7">
        <v>25.0789</v>
      </c>
      <c r="G686" s="7">
        <v>21.2591</v>
      </c>
      <c r="H686" s="14">
        <v>25.311</v>
      </c>
      <c r="I686" s="7">
        <v>25.2956</v>
      </c>
      <c r="J686" s="7">
        <v>26.0791</v>
      </c>
      <c r="K686" s="7"/>
      <c r="L686" s="7"/>
      <c r="M686" s="7"/>
      <c r="N686" s="7">
        <v>24.8859</v>
      </c>
      <c r="O686" s="8">
        <v>20.396</v>
      </c>
      <c r="P686" s="7"/>
      <c r="Q686" s="7">
        <v>10.5794</v>
      </c>
      <c r="R686" s="7">
        <v>10.5794</v>
      </c>
      <c r="S686" s="8">
        <v>10.5794</v>
      </c>
    </row>
    <row r="687" spans="1:19" s="12" customFormat="1" ht="16.5" customHeight="1">
      <c r="A687" s="3"/>
      <c r="B687" s="13" t="s">
        <v>246</v>
      </c>
      <c r="C687" s="7">
        <v>26.7588</v>
      </c>
      <c r="D687" s="7">
        <v>26.3126</v>
      </c>
      <c r="E687" s="7">
        <v>26.3061</v>
      </c>
      <c r="F687" s="7">
        <v>25.7657</v>
      </c>
      <c r="G687" s="7">
        <v>21.3878</v>
      </c>
      <c r="H687" s="14">
        <v>26.0836</v>
      </c>
      <c r="I687" s="7">
        <v>26.2668</v>
      </c>
      <c r="J687" s="7">
        <v>27.0208</v>
      </c>
      <c r="K687" s="7"/>
      <c r="L687" s="7"/>
      <c r="M687" s="7"/>
      <c r="N687" s="7">
        <v>25.8926</v>
      </c>
      <c r="O687" s="8">
        <v>20.9491</v>
      </c>
      <c r="P687" s="7"/>
      <c r="Q687" s="7">
        <v>10.5794</v>
      </c>
      <c r="R687" s="7">
        <v>10.5794</v>
      </c>
      <c r="S687" s="8">
        <v>10.5794</v>
      </c>
    </row>
    <row r="688" spans="1:19" s="12" customFormat="1" ht="16.5" customHeight="1">
      <c r="A688" s="3"/>
      <c r="B688" s="13" t="s">
        <v>247</v>
      </c>
      <c r="C688" s="7">
        <v>26.3392</v>
      </c>
      <c r="D688" s="7">
        <v>25.8947</v>
      </c>
      <c r="E688" s="7">
        <v>25.9277</v>
      </c>
      <c r="F688" s="7">
        <v>25.429</v>
      </c>
      <c r="G688" s="7">
        <v>21.3249</v>
      </c>
      <c r="H688" s="14">
        <v>25.7061</v>
      </c>
      <c r="I688" s="7">
        <v>26.5585</v>
      </c>
      <c r="J688" s="7">
        <v>27.3278</v>
      </c>
      <c r="K688" s="7"/>
      <c r="L688" s="7"/>
      <c r="M688" s="7"/>
      <c r="N688" s="7">
        <v>26.2777</v>
      </c>
      <c r="O688" s="8">
        <v>21.2292</v>
      </c>
      <c r="P688" s="7"/>
      <c r="Q688" s="7">
        <v>10.5794</v>
      </c>
      <c r="R688" s="7">
        <v>10.5794</v>
      </c>
      <c r="S688" s="8">
        <v>10.5794</v>
      </c>
    </row>
    <row r="689" spans="1:19" s="12" customFormat="1" ht="16.5" customHeight="1">
      <c r="A689" s="3"/>
      <c r="B689" s="13" t="s">
        <v>248</v>
      </c>
      <c r="C689" s="7">
        <v>25.76</v>
      </c>
      <c r="D689" s="7">
        <v>25.317</v>
      </c>
      <c r="E689" s="7">
        <v>25.4059</v>
      </c>
      <c r="F689" s="7">
        <v>24.9648</v>
      </c>
      <c r="G689" s="7">
        <v>21.238</v>
      </c>
      <c r="H689" s="14">
        <v>25.1851</v>
      </c>
      <c r="I689" s="7">
        <v>26.5464</v>
      </c>
      <c r="J689" s="7">
        <v>27.2709</v>
      </c>
      <c r="K689" s="7"/>
      <c r="L689" s="7"/>
      <c r="M689" s="7"/>
      <c r="N689" s="7">
        <v>26.2328</v>
      </c>
      <c r="O689" s="8">
        <v>21.2212</v>
      </c>
      <c r="P689" s="7"/>
      <c r="Q689" s="7">
        <v>10.5794</v>
      </c>
      <c r="R689" s="7">
        <v>10.5794</v>
      </c>
      <c r="S689" s="8">
        <v>10.5794</v>
      </c>
    </row>
    <row r="690" spans="1:19" s="12" customFormat="1" ht="16.5" customHeight="1">
      <c r="A690" s="3"/>
      <c r="B690" s="4" t="s">
        <v>13</v>
      </c>
      <c r="C690" s="11">
        <f>(C685*5+C686*7+C687*7+C688*7+C689*5)/31</f>
        <v>26.010948387096775</v>
      </c>
      <c r="D690" s="11">
        <f aca="true" t="shared" si="95" ref="D690:S690">(D685*5+D686*7+D687*7+D688*7+D689*5)/31</f>
        <v>25.565403225806453</v>
      </c>
      <c r="E690" s="11">
        <f t="shared" si="95"/>
        <v>25.632616129032257</v>
      </c>
      <c r="F690" s="11">
        <f t="shared" si="95"/>
        <v>25.166877419354837</v>
      </c>
      <c r="G690" s="11">
        <f t="shared" si="95"/>
        <v>21.275648387096776</v>
      </c>
      <c r="H690" s="11">
        <f t="shared" si="95"/>
        <v>25.410367741935488</v>
      </c>
      <c r="I690" s="11">
        <f t="shared" si="95"/>
        <v>25.864429032258062</v>
      </c>
      <c r="J690" s="11">
        <f t="shared" si="95"/>
        <v>26.641674193548386</v>
      </c>
      <c r="K690" s="11"/>
      <c r="L690" s="11"/>
      <c r="M690" s="11"/>
      <c r="N690" s="11">
        <f t="shared" si="95"/>
        <v>25.509174193548386</v>
      </c>
      <c r="O690" s="38">
        <f t="shared" si="95"/>
        <v>20.7756</v>
      </c>
      <c r="P690" s="11"/>
      <c r="Q690" s="11">
        <f t="shared" si="95"/>
        <v>10.5794</v>
      </c>
      <c r="R690" s="11">
        <f t="shared" si="95"/>
        <v>10.5794</v>
      </c>
      <c r="S690" s="38">
        <f t="shared" si="95"/>
        <v>10.5794</v>
      </c>
    </row>
    <row r="691" spans="1:19" s="12" customFormat="1" ht="16.5" customHeight="1">
      <c r="A691" s="3"/>
      <c r="B691" s="13" t="s">
        <v>27</v>
      </c>
      <c r="C691" s="7">
        <v>25.2632</v>
      </c>
      <c r="D691" s="7">
        <v>24.8192</v>
      </c>
      <c r="E691" s="7">
        <v>24.9923</v>
      </c>
      <c r="F691" s="7">
        <v>24.6342</v>
      </c>
      <c r="G691" s="7">
        <v>21.444</v>
      </c>
      <c r="H691" s="14">
        <v>24.7711</v>
      </c>
      <c r="I691" s="7">
        <v>26.6366</v>
      </c>
      <c r="J691" s="7">
        <v>27.2401</v>
      </c>
      <c r="K691" s="7"/>
      <c r="L691" s="7"/>
      <c r="M691" s="7"/>
      <c r="N691" s="7">
        <v>26.1985</v>
      </c>
      <c r="O691" s="8">
        <v>21.1912</v>
      </c>
      <c r="P691" s="7"/>
      <c r="Q691" s="7">
        <v>10.5057</v>
      </c>
      <c r="R691" s="7">
        <v>10.5057</v>
      </c>
      <c r="S691" s="8">
        <v>10.5057</v>
      </c>
    </row>
    <row r="692" spans="1:19" s="12" customFormat="1" ht="16.5" customHeight="1">
      <c r="A692" s="3"/>
      <c r="B692" s="13" t="s">
        <v>249</v>
      </c>
      <c r="C692" s="7">
        <v>25.1738</v>
      </c>
      <c r="D692" s="7">
        <v>24.7316</v>
      </c>
      <c r="E692" s="7">
        <v>24.9112</v>
      </c>
      <c r="F692" s="7">
        <v>24.5616</v>
      </c>
      <c r="G692" s="7">
        <v>21.4306</v>
      </c>
      <c r="H692" s="14">
        <v>24.6909</v>
      </c>
      <c r="I692" s="7">
        <v>26.827</v>
      </c>
      <c r="J692" s="7">
        <v>27.2265</v>
      </c>
      <c r="K692" s="7"/>
      <c r="L692" s="7"/>
      <c r="M692" s="7"/>
      <c r="N692" s="7">
        <v>26.1544</v>
      </c>
      <c r="O692" s="8">
        <v>21.3353</v>
      </c>
      <c r="P692" s="7"/>
      <c r="Q692" s="7">
        <v>10.5057</v>
      </c>
      <c r="R692" s="7">
        <v>10.5057</v>
      </c>
      <c r="S692" s="8">
        <v>10.5057</v>
      </c>
    </row>
    <row r="693" spans="1:19" s="12" customFormat="1" ht="16.5" customHeight="1">
      <c r="A693" s="3"/>
      <c r="B693" s="13" t="s">
        <v>250</v>
      </c>
      <c r="C693" s="7">
        <v>25.8264</v>
      </c>
      <c r="D693" s="7">
        <v>25.3869</v>
      </c>
      <c r="E693" s="7">
        <v>25.4972</v>
      </c>
      <c r="F693" s="7">
        <v>25.0818</v>
      </c>
      <c r="G693" s="7">
        <v>21.5285</v>
      </c>
      <c r="H693" s="14">
        <v>25.2781</v>
      </c>
      <c r="I693" s="7">
        <v>26.7538</v>
      </c>
      <c r="J693" s="7">
        <v>26.9451</v>
      </c>
      <c r="K693" s="7"/>
      <c r="L693" s="7"/>
      <c r="M693" s="7"/>
      <c r="N693" s="7">
        <v>25.8767</v>
      </c>
      <c r="O693" s="8">
        <v>21.3378</v>
      </c>
      <c r="P693" s="7"/>
      <c r="Q693" s="7">
        <v>10.5057</v>
      </c>
      <c r="R693" s="7">
        <v>10.5057</v>
      </c>
      <c r="S693" s="8">
        <v>10.5057</v>
      </c>
    </row>
    <row r="694" spans="1:19" s="12" customFormat="1" ht="16.5" customHeight="1">
      <c r="A694" s="3"/>
      <c r="B694" s="13" t="s">
        <v>251</v>
      </c>
      <c r="C694" s="7">
        <v>25.2711</v>
      </c>
      <c r="D694" s="7">
        <v>24.8345</v>
      </c>
      <c r="E694" s="7">
        <v>24.9964</v>
      </c>
      <c r="F694" s="7">
        <v>24.6359</v>
      </c>
      <c r="G694" s="7">
        <v>21.4452</v>
      </c>
      <c r="H694" s="14">
        <v>24.7788</v>
      </c>
      <c r="I694" s="7">
        <v>25.9377</v>
      </c>
      <c r="J694" s="7">
        <v>26.3614</v>
      </c>
      <c r="K694" s="7"/>
      <c r="L694" s="7"/>
      <c r="M694" s="7"/>
      <c r="N694" s="7">
        <v>25.3038</v>
      </c>
      <c r="O694" s="8">
        <v>20.7076</v>
      </c>
      <c r="P694" s="7"/>
      <c r="Q694" s="7">
        <v>10.5057</v>
      </c>
      <c r="R694" s="7">
        <v>10.5057</v>
      </c>
      <c r="S694" s="8">
        <v>10.5057</v>
      </c>
    </row>
    <row r="695" spans="1:19" s="12" customFormat="1" ht="16.5" customHeight="1">
      <c r="A695" s="3"/>
      <c r="B695" s="13" t="s">
        <v>252</v>
      </c>
      <c r="C695" s="7">
        <v>25.2436</v>
      </c>
      <c r="D695" s="7">
        <v>24.8059</v>
      </c>
      <c r="E695" s="7">
        <v>24.9721</v>
      </c>
      <c r="F695" s="7">
        <v>24.6146</v>
      </c>
      <c r="G695" s="7">
        <v>21.441</v>
      </c>
      <c r="H695" s="14">
        <v>24.754</v>
      </c>
      <c r="I695" s="7">
        <v>25.5322</v>
      </c>
      <c r="J695" s="7">
        <v>25.9098</v>
      </c>
      <c r="K695" s="7"/>
      <c r="L695" s="7"/>
      <c r="M695" s="7"/>
      <c r="N695" s="7">
        <v>24.8518</v>
      </c>
      <c r="O695" s="8">
        <v>20.2133</v>
      </c>
      <c r="P695" s="7"/>
      <c r="Q695" s="7">
        <v>10.5057</v>
      </c>
      <c r="R695" s="7">
        <v>10.5057</v>
      </c>
      <c r="S695" s="8">
        <v>10.5057</v>
      </c>
    </row>
    <row r="696" spans="1:19" s="12" customFormat="1" ht="16.5" customHeight="1">
      <c r="A696" s="3"/>
      <c r="B696" s="4" t="s">
        <v>13</v>
      </c>
      <c r="C696" s="11">
        <f>(C691*2+C692*7+C693*7+C694*7+C695*7)/30</f>
        <v>25.37102333333333</v>
      </c>
      <c r="D696" s="11">
        <f aca="true" t="shared" si="96" ref="D696:S696">(D691*2+D692*7+D693*7+D694*7+D695*7)/30</f>
        <v>24.93169</v>
      </c>
      <c r="E696" s="11">
        <f t="shared" si="96"/>
        <v>25.087429999999998</v>
      </c>
      <c r="F696" s="11">
        <f t="shared" si="96"/>
        <v>24.717523333333336</v>
      </c>
      <c r="G696" s="11">
        <f t="shared" si="96"/>
        <v>21.46017</v>
      </c>
      <c r="H696" s="11">
        <f t="shared" si="96"/>
        <v>24.868493333333333</v>
      </c>
      <c r="I696" s="11">
        <f t="shared" si="96"/>
        <v>26.287603333333333</v>
      </c>
      <c r="J696" s="11">
        <f t="shared" si="96"/>
        <v>26.652660000000004</v>
      </c>
      <c r="K696" s="11"/>
      <c r="L696" s="11"/>
      <c r="M696" s="11"/>
      <c r="N696" s="11">
        <f t="shared" si="96"/>
        <v>25.59013</v>
      </c>
      <c r="O696" s="38">
        <f t="shared" si="96"/>
        <v>20.91801333333333</v>
      </c>
      <c r="P696" s="11"/>
      <c r="Q696" s="11">
        <f t="shared" si="96"/>
        <v>10.505699999999997</v>
      </c>
      <c r="R696" s="11">
        <f t="shared" si="96"/>
        <v>10.505699999999997</v>
      </c>
      <c r="S696" s="38">
        <f t="shared" si="96"/>
        <v>10.505699999999997</v>
      </c>
    </row>
    <row r="697" spans="1:19" s="12" customFormat="1" ht="16.5" customHeight="1">
      <c r="A697" s="3"/>
      <c r="B697" s="13" t="s">
        <v>253</v>
      </c>
      <c r="C697" s="7">
        <v>25.2448</v>
      </c>
      <c r="D697" s="7">
        <v>24.81</v>
      </c>
      <c r="E697" s="7">
        <v>24.8919</v>
      </c>
      <c r="F697" s="7">
        <v>24.4537</v>
      </c>
      <c r="G697" s="7">
        <v>20.7612</v>
      </c>
      <c r="H697" s="14">
        <v>24.6752</v>
      </c>
      <c r="I697" s="7">
        <v>25.4981</v>
      </c>
      <c r="J697" s="7">
        <v>25.7523</v>
      </c>
      <c r="K697" s="7"/>
      <c r="L697" s="7"/>
      <c r="M697" s="7"/>
      <c r="N697" s="7">
        <v>24.7748</v>
      </c>
      <c r="O697" s="8">
        <v>19.9597</v>
      </c>
      <c r="P697" s="7"/>
      <c r="Q697" s="7">
        <v>10.3615</v>
      </c>
      <c r="R697" s="7">
        <v>10.3615</v>
      </c>
      <c r="S697" s="8">
        <v>10.3615</v>
      </c>
    </row>
    <row r="698" spans="1:19" s="12" customFormat="1" ht="16.5" customHeight="1">
      <c r="A698" s="3"/>
      <c r="B698" s="13" t="s">
        <v>254</v>
      </c>
      <c r="C698" s="7">
        <v>25.7146</v>
      </c>
      <c r="D698" s="7">
        <v>25.2802</v>
      </c>
      <c r="E698" s="7">
        <v>25.3146</v>
      </c>
      <c r="F698" s="7">
        <v>24.8292</v>
      </c>
      <c r="G698" s="7">
        <v>20.8317</v>
      </c>
      <c r="H698" s="14">
        <v>25.098</v>
      </c>
      <c r="I698" s="7">
        <v>25.9133</v>
      </c>
      <c r="J698" s="7">
        <v>25.9699</v>
      </c>
      <c r="K698" s="7"/>
      <c r="L698" s="7"/>
      <c r="M698" s="7"/>
      <c r="N698" s="7">
        <v>25.0653</v>
      </c>
      <c r="O698" s="8">
        <v>19.8065</v>
      </c>
      <c r="P698" s="7"/>
      <c r="Q698" s="7">
        <v>10.3615</v>
      </c>
      <c r="R698" s="7">
        <v>10.3615</v>
      </c>
      <c r="S698" s="8">
        <v>10.3615</v>
      </c>
    </row>
    <row r="699" spans="1:19" s="12" customFormat="1" ht="16.5" customHeight="1">
      <c r="A699" s="3"/>
      <c r="B699" s="13" t="s">
        <v>255</v>
      </c>
      <c r="C699" s="7">
        <v>25.2302</v>
      </c>
      <c r="D699" s="7">
        <v>24.7961</v>
      </c>
      <c r="E699" s="7">
        <v>24.8785</v>
      </c>
      <c r="F699" s="7">
        <v>24.4416</v>
      </c>
      <c r="G699" s="7">
        <v>20.759</v>
      </c>
      <c r="H699" s="14">
        <v>24.6622</v>
      </c>
      <c r="I699" s="7">
        <v>25.9382</v>
      </c>
      <c r="J699" s="7">
        <v>25.9825</v>
      </c>
      <c r="K699" s="7"/>
      <c r="L699" s="7"/>
      <c r="M699" s="7"/>
      <c r="N699" s="7">
        <v>25.0837</v>
      </c>
      <c r="O699" s="8">
        <v>19.8208</v>
      </c>
      <c r="P699" s="7"/>
      <c r="Q699" s="7">
        <v>10.3615</v>
      </c>
      <c r="R699" s="7">
        <v>10.3615</v>
      </c>
      <c r="S699" s="8">
        <v>10.3615</v>
      </c>
    </row>
    <row r="700" spans="1:19" s="12" customFormat="1" ht="16.5" customHeight="1">
      <c r="A700" s="3"/>
      <c r="B700" s="13" t="s">
        <v>256</v>
      </c>
      <c r="C700" s="7">
        <v>23.7733</v>
      </c>
      <c r="D700" s="7">
        <v>23.3389</v>
      </c>
      <c r="E700" s="7">
        <v>23.5677</v>
      </c>
      <c r="F700" s="7">
        <v>23.2766</v>
      </c>
      <c r="G700" s="7">
        <v>20.5405</v>
      </c>
      <c r="H700" s="14">
        <v>23.3515</v>
      </c>
      <c r="I700" s="7">
        <v>25.1124</v>
      </c>
      <c r="J700" s="7">
        <v>25.2283</v>
      </c>
      <c r="K700" s="7"/>
      <c r="L700" s="7"/>
      <c r="M700" s="7"/>
      <c r="N700" s="7">
        <v>24.2764</v>
      </c>
      <c r="O700" s="8">
        <v>19.522</v>
      </c>
      <c r="P700" s="7"/>
      <c r="Q700" s="7">
        <v>10.3615</v>
      </c>
      <c r="R700" s="7">
        <v>10.3615</v>
      </c>
      <c r="S700" s="8">
        <v>10.3615</v>
      </c>
    </row>
    <row r="701" spans="1:19" s="12" customFormat="1" ht="16.5" customHeight="1">
      <c r="A701" s="3"/>
      <c r="B701" s="13" t="s">
        <v>257</v>
      </c>
      <c r="C701" s="7">
        <v>23.4015</v>
      </c>
      <c r="D701" s="7">
        <v>22.9672</v>
      </c>
      <c r="E701" s="7">
        <v>23.233</v>
      </c>
      <c r="F701" s="7">
        <v>22.9792</v>
      </c>
      <c r="G701" s="7">
        <v>20.4847</v>
      </c>
      <c r="H701" s="14">
        <v>23.0169</v>
      </c>
      <c r="I701" s="7">
        <v>24.954</v>
      </c>
      <c r="J701" s="7">
        <v>25.1618</v>
      </c>
      <c r="K701" s="7"/>
      <c r="L701" s="7"/>
      <c r="M701" s="7"/>
      <c r="N701" s="7">
        <v>24.1845</v>
      </c>
      <c r="O701" s="8">
        <v>19.2771</v>
      </c>
      <c r="P701" s="7"/>
      <c r="Q701" s="7">
        <v>10.3615</v>
      </c>
      <c r="R701" s="7">
        <v>10.3615</v>
      </c>
      <c r="S701" s="8">
        <v>10.3615</v>
      </c>
    </row>
    <row r="702" spans="1:19" s="12" customFormat="1" ht="16.5" customHeight="1">
      <c r="A702" s="3"/>
      <c r="B702" s="4" t="s">
        <v>13</v>
      </c>
      <c r="C702" s="11">
        <f>(C697*7+C698*7+C699*7+C700*7+C701*3)/31</f>
        <v>24.836929032258062</v>
      </c>
      <c r="D702" s="11">
        <f aca="true" t="shared" si="97" ref="D702:S702">(D697*7+D698*7+D699*7+D700*7+D701*3)/31</f>
        <v>24.402516129032257</v>
      </c>
      <c r="E702" s="11">
        <f t="shared" si="97"/>
        <v>24.524770967741933</v>
      </c>
      <c r="F702" s="11">
        <f t="shared" si="97"/>
        <v>24.127267741935484</v>
      </c>
      <c r="G702" s="11">
        <f t="shared" si="97"/>
        <v>20.700029032258065</v>
      </c>
      <c r="H702" s="11">
        <f t="shared" si="97"/>
        <v>24.30835483870968</v>
      </c>
      <c r="I702" s="11">
        <f t="shared" si="97"/>
        <v>25.551483870967743</v>
      </c>
      <c r="J702" s="11">
        <f t="shared" si="97"/>
        <v>25.677948387096777</v>
      </c>
      <c r="K702" s="11"/>
      <c r="L702" s="11"/>
      <c r="M702" s="11"/>
      <c r="N702" s="11">
        <f t="shared" si="97"/>
        <v>24.740480645161288</v>
      </c>
      <c r="O702" s="38">
        <f t="shared" si="97"/>
        <v>19.72884838709677</v>
      </c>
      <c r="P702" s="11"/>
      <c r="Q702" s="11">
        <f t="shared" si="97"/>
        <v>10.361499999999998</v>
      </c>
      <c r="R702" s="11">
        <f>(R697*7+R698*7+R699*7+R700*7+R701*3)/31</f>
        <v>10.361499999999998</v>
      </c>
      <c r="S702" s="38">
        <f t="shared" si="97"/>
        <v>10.361499999999998</v>
      </c>
    </row>
    <row r="703" spans="1:19" s="12" customFormat="1" ht="16.5" customHeight="1">
      <c r="A703" s="3"/>
      <c r="B703" s="13" t="s">
        <v>89</v>
      </c>
      <c r="C703" s="7">
        <v>23.347</v>
      </c>
      <c r="D703" s="7">
        <v>22.913</v>
      </c>
      <c r="E703" s="7">
        <v>23.1819</v>
      </c>
      <c r="F703" s="7">
        <v>22.9315</v>
      </c>
      <c r="G703" s="7">
        <v>20.4596</v>
      </c>
      <c r="H703" s="14">
        <v>22.966</v>
      </c>
      <c r="I703" s="7">
        <v>24.8772</v>
      </c>
      <c r="J703" s="7">
        <v>25.2682</v>
      </c>
      <c r="K703" s="7"/>
      <c r="L703" s="7"/>
      <c r="M703" s="7"/>
      <c r="N703" s="7">
        <v>24.2459</v>
      </c>
      <c r="O703" s="8">
        <v>18.8989</v>
      </c>
      <c r="P703" s="7"/>
      <c r="Q703" s="7">
        <v>10.2609</v>
      </c>
      <c r="R703" s="7">
        <v>10.2609</v>
      </c>
      <c r="S703" s="8">
        <v>10.2609</v>
      </c>
    </row>
    <row r="704" spans="1:19" s="12" customFormat="1" ht="16.5" customHeight="1">
      <c r="A704" s="3"/>
      <c r="B704" s="13" t="s">
        <v>258</v>
      </c>
      <c r="C704" s="7">
        <v>23.3172</v>
      </c>
      <c r="D704" s="7">
        <v>22.8829</v>
      </c>
      <c r="E704" s="7">
        <v>23.1552</v>
      </c>
      <c r="F704" s="7">
        <v>22.9078</v>
      </c>
      <c r="G704" s="7">
        <v>20.4551</v>
      </c>
      <c r="H704" s="14">
        <v>22.9391</v>
      </c>
      <c r="I704" s="7">
        <v>24.4305</v>
      </c>
      <c r="J704" s="7">
        <v>24.9043</v>
      </c>
      <c r="K704" s="7"/>
      <c r="L704" s="7"/>
      <c r="M704" s="7"/>
      <c r="N704" s="7">
        <v>23.8301</v>
      </c>
      <c r="O704" s="8">
        <v>18.5016</v>
      </c>
      <c r="P704" s="7"/>
      <c r="Q704" s="7">
        <v>10.2609</v>
      </c>
      <c r="R704" s="7">
        <v>10.2609</v>
      </c>
      <c r="S704" s="8">
        <v>10.2609</v>
      </c>
    </row>
    <row r="705" spans="1:19" s="12" customFormat="1" ht="16.5" customHeight="1">
      <c r="A705" s="3"/>
      <c r="B705" s="13" t="s">
        <v>259</v>
      </c>
      <c r="C705" s="7">
        <v>23.9134</v>
      </c>
      <c r="D705" s="7">
        <v>23.4795</v>
      </c>
      <c r="E705" s="7">
        <v>23.6915</v>
      </c>
      <c r="F705" s="7">
        <v>23.3844</v>
      </c>
      <c r="G705" s="7">
        <v>20.5445</v>
      </c>
      <c r="H705" s="14">
        <v>23.4756</v>
      </c>
      <c r="I705" s="7">
        <v>24.404</v>
      </c>
      <c r="J705" s="7">
        <v>24.7692</v>
      </c>
      <c r="K705" s="7"/>
      <c r="L705" s="7"/>
      <c r="M705" s="7"/>
      <c r="N705" s="7">
        <v>23.7204</v>
      </c>
      <c r="O705" s="8">
        <v>18.5542</v>
      </c>
      <c r="P705" s="7"/>
      <c r="Q705" s="7">
        <v>10.2609</v>
      </c>
      <c r="R705" s="7">
        <v>10.2609</v>
      </c>
      <c r="S705" s="8">
        <v>10.2609</v>
      </c>
    </row>
    <row r="706" spans="1:19" s="12" customFormat="1" ht="16.5" customHeight="1">
      <c r="A706" s="3"/>
      <c r="B706" s="13" t="s">
        <v>260</v>
      </c>
      <c r="C706" s="7">
        <v>24.5032</v>
      </c>
      <c r="D706" s="7">
        <v>24.0687</v>
      </c>
      <c r="E706" s="7">
        <v>24.2225</v>
      </c>
      <c r="F706" s="7">
        <v>23.8565</v>
      </c>
      <c r="G706" s="7">
        <v>20.633</v>
      </c>
      <c r="H706" s="14">
        <v>24.0061</v>
      </c>
      <c r="I706" s="7">
        <v>24.7572</v>
      </c>
      <c r="J706" s="7">
        <v>25.1518</v>
      </c>
      <c r="K706" s="7"/>
      <c r="L706" s="7"/>
      <c r="M706" s="7"/>
      <c r="N706" s="7">
        <v>24.1574</v>
      </c>
      <c r="O706" s="8">
        <v>18.8026</v>
      </c>
      <c r="P706" s="7"/>
      <c r="Q706" s="7">
        <v>10.2609</v>
      </c>
      <c r="R706" s="7">
        <v>10.2609</v>
      </c>
      <c r="S706" s="8">
        <v>10.2609</v>
      </c>
    </row>
    <row r="707" spans="1:19" s="12" customFormat="1" ht="16.5" customHeight="1">
      <c r="A707" s="3"/>
      <c r="B707" s="13" t="s">
        <v>261</v>
      </c>
      <c r="C707" s="7">
        <v>24.3592</v>
      </c>
      <c r="D707" s="7">
        <v>23.9249</v>
      </c>
      <c r="E707" s="7">
        <v>24.0929</v>
      </c>
      <c r="F707" s="7">
        <v>23.7412</v>
      </c>
      <c r="G707" s="7">
        <v>20.6114</v>
      </c>
      <c r="H707" s="14">
        <v>23.8766</v>
      </c>
      <c r="I707" s="7">
        <v>24.7266</v>
      </c>
      <c r="J707" s="7">
        <v>25.2708</v>
      </c>
      <c r="K707" s="7"/>
      <c r="L707" s="7"/>
      <c r="M707" s="7"/>
      <c r="N707" s="7">
        <v>24.3107</v>
      </c>
      <c r="O707" s="8">
        <v>18.7897</v>
      </c>
      <c r="P707" s="7"/>
      <c r="Q707" s="7">
        <v>10.2609</v>
      </c>
      <c r="R707" s="7">
        <v>10.2609</v>
      </c>
      <c r="S707" s="8">
        <v>10.2609</v>
      </c>
    </row>
    <row r="708" spans="1:19" s="12" customFormat="1" ht="16.5" customHeight="1">
      <c r="A708" s="3"/>
      <c r="B708" s="4" t="s">
        <v>13</v>
      </c>
      <c r="C708" s="11">
        <f>(C703*4+C704*7+C705*7+C706*7+C707*5)/30</f>
        <v>23.910686666666667</v>
      </c>
      <c r="D708" s="11">
        <f aca="true" t="shared" si="98" ref="D708:S708">(D703*4+D704*7+D705*7+D706*7+D707*5)/30</f>
        <v>23.476473333333335</v>
      </c>
      <c r="E708" s="11">
        <f t="shared" si="98"/>
        <v>23.689216666666667</v>
      </c>
      <c r="F708" s="11">
        <f t="shared" si="98"/>
        <v>23.38243</v>
      </c>
      <c r="G708" s="11">
        <f t="shared" si="98"/>
        <v>20.54412</v>
      </c>
      <c r="H708" s="11">
        <f t="shared" si="98"/>
        <v>23.47308666666667</v>
      </c>
      <c r="I708" s="11">
        <f t="shared" si="98"/>
        <v>24.609456666666667</v>
      </c>
      <c r="J708" s="11">
        <f t="shared" si="98"/>
        <v>25.040129999999998</v>
      </c>
      <c r="K708" s="11"/>
      <c r="L708" s="11"/>
      <c r="M708" s="11"/>
      <c r="N708" s="11">
        <f t="shared" si="98"/>
        <v>24.016413333333333</v>
      </c>
      <c r="O708" s="38">
        <f t="shared" si="98"/>
        <v>18.685096666666666</v>
      </c>
      <c r="P708" s="11"/>
      <c r="Q708" s="11">
        <f t="shared" si="98"/>
        <v>10.260900000000001</v>
      </c>
      <c r="R708" s="11">
        <f t="shared" si="98"/>
        <v>10.260900000000001</v>
      </c>
      <c r="S708" s="38">
        <f t="shared" si="98"/>
        <v>10.260900000000001</v>
      </c>
    </row>
    <row r="709" spans="1:19" s="12" customFormat="1" ht="16.5" customHeight="1">
      <c r="A709" s="3"/>
      <c r="B709" s="13" t="s">
        <v>40</v>
      </c>
      <c r="C709" s="7">
        <v>24.1212</v>
      </c>
      <c r="D709" s="7">
        <v>23.6868</v>
      </c>
      <c r="E709" s="7">
        <v>23.9177</v>
      </c>
      <c r="F709" s="7">
        <v>23.6289</v>
      </c>
      <c r="G709" s="7">
        <v>20.9072</v>
      </c>
      <c r="H709" s="14">
        <v>23.7014</v>
      </c>
      <c r="I709" s="7">
        <v>24.5301</v>
      </c>
      <c r="J709" s="7">
        <v>25.177</v>
      </c>
      <c r="K709" s="7"/>
      <c r="L709" s="7"/>
      <c r="M709" s="7"/>
      <c r="N709" s="7">
        <v>24.2121</v>
      </c>
      <c r="O709" s="8">
        <v>18.479</v>
      </c>
      <c r="P709" s="7"/>
      <c r="Q709" s="7">
        <v>10.2644</v>
      </c>
      <c r="R709" s="7">
        <v>10.2644</v>
      </c>
      <c r="S709" s="8">
        <v>10.2644</v>
      </c>
    </row>
    <row r="710" spans="1:19" s="12" customFormat="1" ht="16.5" customHeight="1">
      <c r="A710" s="3"/>
      <c r="B710" s="13" t="s">
        <v>262</v>
      </c>
      <c r="C710" s="7">
        <v>23.7356</v>
      </c>
      <c r="D710" s="7">
        <v>23.302</v>
      </c>
      <c r="E710" s="7">
        <v>23.5705</v>
      </c>
      <c r="F710" s="7">
        <v>23.3201</v>
      </c>
      <c r="G710" s="7">
        <v>20.8493</v>
      </c>
      <c r="H710" s="14">
        <v>23.3546</v>
      </c>
      <c r="I710" s="7">
        <v>24.606</v>
      </c>
      <c r="J710" s="7">
        <v>25.1819</v>
      </c>
      <c r="K710" s="7"/>
      <c r="L710" s="7"/>
      <c r="M710" s="7"/>
      <c r="N710" s="7">
        <v>24.282</v>
      </c>
      <c r="O710" s="8">
        <v>18.5296</v>
      </c>
      <c r="P710" s="7"/>
      <c r="Q710" s="7">
        <v>10.2644</v>
      </c>
      <c r="R710" s="7">
        <v>10.2644</v>
      </c>
      <c r="S710" s="8">
        <v>10.2644</v>
      </c>
    </row>
    <row r="711" spans="1:19" s="12" customFormat="1" ht="16.5" customHeight="1">
      <c r="A711" s="3"/>
      <c r="B711" s="13" t="s">
        <v>263</v>
      </c>
      <c r="C711" s="7">
        <v>23.3637</v>
      </c>
      <c r="D711" s="7">
        <v>22.9306</v>
      </c>
      <c r="E711" s="7">
        <v>23.2356</v>
      </c>
      <c r="F711" s="7">
        <v>23.0223</v>
      </c>
      <c r="G711" s="7">
        <v>20.7936</v>
      </c>
      <c r="H711" s="14">
        <v>23.0201</v>
      </c>
      <c r="I711" s="7">
        <v>24.1459</v>
      </c>
      <c r="J711" s="7">
        <v>24.4654</v>
      </c>
      <c r="K711" s="7"/>
      <c r="L711" s="7"/>
      <c r="M711" s="7"/>
      <c r="N711" s="7">
        <v>23.6551</v>
      </c>
      <c r="O711" s="8">
        <v>18.4438</v>
      </c>
      <c r="P711" s="7"/>
      <c r="Q711" s="7">
        <v>10.2644</v>
      </c>
      <c r="R711" s="7">
        <v>10.2644</v>
      </c>
      <c r="S711" s="8">
        <v>10.2644</v>
      </c>
    </row>
    <row r="712" spans="1:19" s="12" customFormat="1" ht="16.5" customHeight="1">
      <c r="A712" s="3"/>
      <c r="B712" s="13" t="s">
        <v>264</v>
      </c>
      <c r="C712" s="7">
        <v>23.6831</v>
      </c>
      <c r="D712" s="7">
        <v>23.2503</v>
      </c>
      <c r="E712" s="7">
        <v>23.5229</v>
      </c>
      <c r="F712" s="7">
        <v>23.2776</v>
      </c>
      <c r="G712" s="7">
        <v>20.8415</v>
      </c>
      <c r="H712" s="14">
        <v>23.3075</v>
      </c>
      <c r="I712" s="7">
        <v>24.4362</v>
      </c>
      <c r="J712" s="7">
        <v>24.6481</v>
      </c>
      <c r="K712" s="7"/>
      <c r="L712" s="7"/>
      <c r="M712" s="7"/>
      <c r="N712" s="7">
        <v>23.812</v>
      </c>
      <c r="O712" s="8">
        <v>18.5609</v>
      </c>
      <c r="P712" s="7"/>
      <c r="Q712" s="7">
        <v>10.2644</v>
      </c>
      <c r="R712" s="7">
        <v>10.2644</v>
      </c>
      <c r="S712" s="8">
        <v>10.2644</v>
      </c>
    </row>
    <row r="713" spans="1:19" s="12" customFormat="1" ht="16.5" customHeight="1">
      <c r="A713" s="3"/>
      <c r="B713" s="13" t="s">
        <v>265</v>
      </c>
      <c r="C713" s="7">
        <v>24.2104</v>
      </c>
      <c r="D713" s="7">
        <v>23.7769</v>
      </c>
      <c r="E713" s="7">
        <v>23.9976</v>
      </c>
      <c r="F713" s="7">
        <v>23.6996</v>
      </c>
      <c r="G713" s="7">
        <v>20.9206</v>
      </c>
      <c r="H713" s="14">
        <v>23.7818</v>
      </c>
      <c r="I713" s="7">
        <v>24.6371</v>
      </c>
      <c r="J713" s="7">
        <v>24.8669</v>
      </c>
      <c r="K713" s="7"/>
      <c r="L713" s="7"/>
      <c r="M713" s="7"/>
      <c r="N713" s="7">
        <v>23.8873</v>
      </c>
      <c r="O713" s="8">
        <v>18.634</v>
      </c>
      <c r="P713" s="7"/>
      <c r="Q713" s="7">
        <v>10.2644</v>
      </c>
      <c r="R713" s="7">
        <v>10.2644</v>
      </c>
      <c r="S713" s="8">
        <v>10.2644</v>
      </c>
    </row>
    <row r="714" spans="1:19" s="12" customFormat="1" ht="16.5" customHeight="1">
      <c r="A714" s="3"/>
      <c r="B714" s="13" t="s">
        <v>266</v>
      </c>
      <c r="C714" s="7">
        <v>24.5141</v>
      </c>
      <c r="D714" s="7">
        <v>24.0806</v>
      </c>
      <c r="E714" s="7">
        <v>24.2709</v>
      </c>
      <c r="F714" s="7">
        <v>23.9426</v>
      </c>
      <c r="G714" s="7">
        <v>20.9661</v>
      </c>
      <c r="H714" s="14">
        <v>24.055</v>
      </c>
      <c r="I714" s="7">
        <v>24.7867</v>
      </c>
      <c r="J714" s="7">
        <v>24.9095</v>
      </c>
      <c r="K714" s="7"/>
      <c r="L714" s="7"/>
      <c r="M714" s="7"/>
      <c r="N714" s="7">
        <v>23.9322</v>
      </c>
      <c r="O714" s="8">
        <v>18.7693</v>
      </c>
      <c r="P714" s="7"/>
      <c r="Q714" s="7">
        <v>10.2644</v>
      </c>
      <c r="R714" s="7">
        <v>10.2644</v>
      </c>
      <c r="S714" s="8">
        <v>10.2644</v>
      </c>
    </row>
    <row r="715" spans="1:19" s="12" customFormat="1" ht="16.5" customHeight="1">
      <c r="A715" s="3"/>
      <c r="B715" s="4" t="s">
        <v>13</v>
      </c>
      <c r="C715" s="11">
        <f>(C709*2+C710*7+C711*7+C712*7+C713*7+C714*1)/31</f>
        <v>23.796970967741935</v>
      </c>
      <c r="D715" s="11">
        <f aca="true" t="shared" si="99" ref="D715:S715">(D709*2+D710*7+D711*7+D712*7+D713*7+D714*1)/31</f>
        <v>23.363638709677417</v>
      </c>
      <c r="E715" s="11">
        <f t="shared" si="99"/>
        <v>23.625564516129035</v>
      </c>
      <c r="F715" s="11">
        <f t="shared" si="99"/>
        <v>23.368954838709676</v>
      </c>
      <c r="G715" s="11">
        <f t="shared" si="99"/>
        <v>20.858564516129032</v>
      </c>
      <c r="H715" s="11">
        <f t="shared" si="99"/>
        <v>23.409864516129026</v>
      </c>
      <c r="I715" s="11">
        <f t="shared" si="99"/>
        <v>24.471719354838708</v>
      </c>
      <c r="J715" s="11">
        <f t="shared" si="99"/>
        <v>24.81934193548387</v>
      </c>
      <c r="K715" s="11"/>
      <c r="L715" s="11"/>
      <c r="M715" s="11"/>
      <c r="N715" s="11">
        <f t="shared" si="99"/>
        <v>23.929393548387093</v>
      </c>
      <c r="O715" s="38">
        <f t="shared" si="99"/>
        <v>18.545335483870968</v>
      </c>
      <c r="P715" s="11"/>
      <c r="Q715" s="11">
        <f t="shared" si="99"/>
        <v>10.264400000000002</v>
      </c>
      <c r="R715" s="11">
        <f t="shared" si="99"/>
        <v>10.264400000000002</v>
      </c>
      <c r="S715" s="38">
        <f t="shared" si="99"/>
        <v>10.264400000000002</v>
      </c>
    </row>
    <row r="716" spans="1:19" s="12" customFormat="1" ht="16.5" customHeight="1">
      <c r="A716" s="20"/>
      <c r="B716" s="19">
        <v>2013</v>
      </c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39"/>
      <c r="P716" s="14"/>
      <c r="S716" s="15"/>
    </row>
    <row r="717" spans="1:19" s="12" customFormat="1" ht="16.5" customHeight="1">
      <c r="A717" s="3"/>
      <c r="B717" s="13" t="s">
        <v>212</v>
      </c>
      <c r="C717" s="7">
        <v>24.3993</v>
      </c>
      <c r="D717" s="7">
        <v>23.9667</v>
      </c>
      <c r="E717" s="7">
        <v>24.2718</v>
      </c>
      <c r="F717" s="7">
        <v>24.0594</v>
      </c>
      <c r="G717" s="7">
        <v>21.8414</v>
      </c>
      <c r="H717" s="14">
        <v>24.0558</v>
      </c>
      <c r="I717" s="7">
        <v>24.5828</v>
      </c>
      <c r="J717" s="7">
        <v>24.9012</v>
      </c>
      <c r="K717" s="7"/>
      <c r="L717" s="7"/>
      <c r="M717" s="7"/>
      <c r="N717" s="7">
        <v>24.0503</v>
      </c>
      <c r="O717" s="8">
        <v>18.6823</v>
      </c>
      <c r="P717" s="7"/>
      <c r="Q717" s="7">
        <v>10.2416</v>
      </c>
      <c r="R717" s="12">
        <v>10.2416</v>
      </c>
      <c r="S717" s="8">
        <v>10.2416</v>
      </c>
    </row>
    <row r="718" spans="1:19" s="12" customFormat="1" ht="16.5" customHeight="1">
      <c r="A718" s="3"/>
      <c r="B718" s="13" t="s">
        <v>267</v>
      </c>
      <c r="C718" s="7">
        <v>24.089</v>
      </c>
      <c r="D718" s="7">
        <v>23.6571</v>
      </c>
      <c r="E718" s="7">
        <v>23.992</v>
      </c>
      <c r="F718" s="7">
        <v>23.8104</v>
      </c>
      <c r="G718" s="7">
        <v>21.7948</v>
      </c>
      <c r="H718" s="14">
        <v>23.7761</v>
      </c>
      <c r="I718" s="7">
        <v>24.7948</v>
      </c>
      <c r="J718" s="7">
        <v>25.0977</v>
      </c>
      <c r="K718" s="7"/>
      <c r="L718" s="7"/>
      <c r="M718" s="7"/>
      <c r="N718" s="7">
        <v>24.331</v>
      </c>
      <c r="O718" s="8">
        <v>19.0635</v>
      </c>
      <c r="P718" s="7"/>
      <c r="Q718" s="7">
        <v>10.2416</v>
      </c>
      <c r="R718" s="12">
        <v>10.2416</v>
      </c>
      <c r="S718" s="8">
        <v>10.2416</v>
      </c>
    </row>
    <row r="719" spans="1:19" s="12" customFormat="1" ht="16.5" customHeight="1">
      <c r="A719" s="3"/>
      <c r="B719" s="13" t="s">
        <v>268</v>
      </c>
      <c r="C719" s="7">
        <v>23.4888</v>
      </c>
      <c r="D719" s="7">
        <v>23.0628</v>
      </c>
      <c r="E719" s="7">
        <v>23.4495</v>
      </c>
      <c r="F719" s="7">
        <v>23.3268</v>
      </c>
      <c r="G719" s="7">
        <v>21.7048</v>
      </c>
      <c r="H719" s="14">
        <v>23.2366</v>
      </c>
      <c r="I719" s="7">
        <v>24.4692</v>
      </c>
      <c r="J719" s="7">
        <v>24.7368</v>
      </c>
      <c r="K719" s="7"/>
      <c r="L719" s="7"/>
      <c r="M719" s="7"/>
      <c r="N719" s="7">
        <v>23.961</v>
      </c>
      <c r="O719" s="8">
        <v>18.7413</v>
      </c>
      <c r="P719" s="7"/>
      <c r="Q719" s="7">
        <v>10.2416</v>
      </c>
      <c r="R719" s="12">
        <v>10.2416</v>
      </c>
      <c r="S719" s="8">
        <v>10.2416</v>
      </c>
    </row>
    <row r="720" spans="1:19" s="12" customFormat="1" ht="16.5" customHeight="1">
      <c r="A720" s="3"/>
      <c r="B720" s="13" t="s">
        <v>269</v>
      </c>
      <c r="C720" s="7">
        <v>23.8947</v>
      </c>
      <c r="D720" s="7">
        <v>23.4712</v>
      </c>
      <c r="E720" s="7">
        <v>23.8137</v>
      </c>
      <c r="F720" s="7">
        <v>23.6499</v>
      </c>
      <c r="G720" s="7">
        <v>21.7657</v>
      </c>
      <c r="H720" s="14">
        <v>23.602</v>
      </c>
      <c r="I720" s="7">
        <v>24.5214</v>
      </c>
      <c r="J720" s="7">
        <v>24.7176</v>
      </c>
      <c r="K720" s="7"/>
      <c r="L720" s="7"/>
      <c r="M720" s="7"/>
      <c r="N720" s="7">
        <v>23.9453</v>
      </c>
      <c r="O720" s="8">
        <v>18.6541</v>
      </c>
      <c r="P720" s="7"/>
      <c r="Q720" s="7">
        <v>10.2416</v>
      </c>
      <c r="R720" s="12">
        <v>10.2416</v>
      </c>
      <c r="S720" s="8">
        <v>10.2416</v>
      </c>
    </row>
    <row r="721" spans="1:19" s="12" customFormat="1" ht="16.5" customHeight="1">
      <c r="A721" s="3"/>
      <c r="B721" s="13" t="s">
        <v>103</v>
      </c>
      <c r="C721" s="7">
        <v>24.4027</v>
      </c>
      <c r="D721" s="7">
        <v>23.9781</v>
      </c>
      <c r="E721" s="7">
        <v>24.2713</v>
      </c>
      <c r="F721" s="7">
        <v>24.0568</v>
      </c>
      <c r="G721" s="7">
        <v>21.8419</v>
      </c>
      <c r="H721" s="14">
        <v>24.059</v>
      </c>
      <c r="I721" s="7">
        <v>24.6713</v>
      </c>
      <c r="J721" s="7">
        <v>24.8571</v>
      </c>
      <c r="K721" s="7"/>
      <c r="L721" s="7"/>
      <c r="M721" s="7"/>
      <c r="N721" s="7">
        <v>24.093</v>
      </c>
      <c r="O721" s="8">
        <v>18.7622</v>
      </c>
      <c r="P721" s="7"/>
      <c r="Q721" s="7">
        <v>10.2416</v>
      </c>
      <c r="R721" s="12">
        <v>10.2416</v>
      </c>
      <c r="S721" s="8">
        <v>10.2416</v>
      </c>
    </row>
    <row r="722" spans="1:19" s="12" customFormat="1" ht="16.5" customHeight="1">
      <c r="A722" s="3"/>
      <c r="B722" s="4" t="s">
        <v>13</v>
      </c>
      <c r="C722" s="56">
        <f>(C717*6+C718*7+C719*7+C720*7+C721*4)/31</f>
        <v>24.01013225806452</v>
      </c>
      <c r="D722" s="11">
        <f aca="true" t="shared" si="100" ref="D722:S722">(D717*6+D718*7+D719*7+D720*7+D721*4)/31</f>
        <v>23.582267741935485</v>
      </c>
      <c r="E722" s="11">
        <f t="shared" si="100"/>
        <v>23.919432258064514</v>
      </c>
      <c r="F722" s="11">
        <f t="shared" si="100"/>
        <v>23.74494516129032</v>
      </c>
      <c r="G722" s="11">
        <f t="shared" si="100"/>
        <v>21.783003225806446</v>
      </c>
      <c r="H722" s="11">
        <f t="shared" si="100"/>
        <v>23.705603225806453</v>
      </c>
      <c r="I722" s="11">
        <f t="shared" si="100"/>
        <v>24.60257419354839</v>
      </c>
      <c r="J722" s="11">
        <f t="shared" si="100"/>
        <v>24.8613</v>
      </c>
      <c r="K722" s="11"/>
      <c r="L722" s="11"/>
      <c r="M722" s="11"/>
      <c r="N722" s="11">
        <f t="shared" si="100"/>
        <v>24.075319354838708</v>
      </c>
      <c r="O722" s="38">
        <f t="shared" si="100"/>
        <v>18.785641935483874</v>
      </c>
      <c r="P722" s="11"/>
      <c r="Q722" s="11">
        <f t="shared" si="100"/>
        <v>10.2416</v>
      </c>
      <c r="R722" s="48">
        <f t="shared" si="100"/>
        <v>10.2416</v>
      </c>
      <c r="S722" s="38">
        <f t="shared" si="100"/>
        <v>10.2416</v>
      </c>
    </row>
    <row r="723" spans="1:19" s="12" customFormat="1" ht="16.5" customHeight="1">
      <c r="A723" s="3"/>
      <c r="B723" s="13" t="s">
        <v>221</v>
      </c>
      <c r="C723" s="7">
        <v>25.0429</v>
      </c>
      <c r="D723" s="7">
        <v>24.6188</v>
      </c>
      <c r="E723" s="7">
        <v>25.0671</v>
      </c>
      <c r="F723" s="7">
        <v>25.0084</v>
      </c>
      <c r="G723" s="7">
        <v>23.8079</v>
      </c>
      <c r="H723" s="14">
        <v>24.8549</v>
      </c>
      <c r="I723" s="7">
        <v>24.9893</v>
      </c>
      <c r="J723" s="7">
        <v>25.1631</v>
      </c>
      <c r="K723" s="7"/>
      <c r="L723" s="7"/>
      <c r="M723" s="7"/>
      <c r="N723" s="7">
        <v>24.3959</v>
      </c>
      <c r="O723" s="8">
        <v>18.9633</v>
      </c>
      <c r="P723" s="7"/>
      <c r="Q723" s="7">
        <v>10.051</v>
      </c>
      <c r="R723" s="57">
        <v>10.051</v>
      </c>
      <c r="S723" s="8">
        <v>10.051</v>
      </c>
    </row>
    <row r="724" spans="1:19" s="12" customFormat="1" ht="16.5" customHeight="1">
      <c r="A724" s="3"/>
      <c r="B724" s="13" t="s">
        <v>273</v>
      </c>
      <c r="C724" s="7">
        <v>25.5527</v>
      </c>
      <c r="D724" s="7">
        <v>25.1287</v>
      </c>
      <c r="E724" s="7">
        <v>25.5259</v>
      </c>
      <c r="F724" s="7">
        <v>25.4162</v>
      </c>
      <c r="G724" s="7">
        <v>23.8844</v>
      </c>
      <c r="H724" s="14">
        <v>25.3136</v>
      </c>
      <c r="I724" s="7">
        <v>25.5073</v>
      </c>
      <c r="J724" s="7">
        <v>25.6831</v>
      </c>
      <c r="K724" s="7"/>
      <c r="L724" s="7"/>
      <c r="M724" s="7"/>
      <c r="N724" s="7">
        <v>24.9356</v>
      </c>
      <c r="O724" s="8">
        <v>19.2291</v>
      </c>
      <c r="P724" s="7"/>
      <c r="Q724" s="7">
        <v>11.051</v>
      </c>
      <c r="R724" s="57">
        <v>11.051</v>
      </c>
      <c r="S724" s="8">
        <v>11.051</v>
      </c>
    </row>
    <row r="725" spans="1:19" s="12" customFormat="1" ht="16.5" customHeight="1">
      <c r="A725" s="3"/>
      <c r="B725" s="13" t="s">
        <v>274</v>
      </c>
      <c r="C725" s="7">
        <v>26.1878</v>
      </c>
      <c r="D725" s="7">
        <v>25.7641</v>
      </c>
      <c r="E725" s="7">
        <v>26.0976</v>
      </c>
      <c r="F725" s="7">
        <v>25.9245</v>
      </c>
      <c r="G725" s="7">
        <v>23.9797</v>
      </c>
      <c r="H725" s="14">
        <v>25.8858</v>
      </c>
      <c r="I725" s="7">
        <v>26.0361</v>
      </c>
      <c r="J725" s="7">
        <v>26.1595</v>
      </c>
      <c r="K725" s="7"/>
      <c r="L725" s="7"/>
      <c r="M725" s="7"/>
      <c r="N725" s="7">
        <v>25.2841</v>
      </c>
      <c r="O725" s="8">
        <v>19.4793</v>
      </c>
      <c r="P725" s="7"/>
      <c r="Q725" s="7">
        <v>12.051</v>
      </c>
      <c r="R725" s="57">
        <v>12.051</v>
      </c>
      <c r="S725" s="8">
        <v>12.051</v>
      </c>
    </row>
    <row r="726" spans="1:19" s="12" customFormat="1" ht="16.5" customHeight="1">
      <c r="A726" s="3"/>
      <c r="B726" s="13" t="s">
        <v>275</v>
      </c>
      <c r="C726" s="7">
        <v>26.1501</v>
      </c>
      <c r="D726" s="7">
        <v>25.7266</v>
      </c>
      <c r="E726" s="7">
        <v>26.0639</v>
      </c>
      <c r="F726" s="7">
        <v>25.8947</v>
      </c>
      <c r="G726" s="7">
        <v>23.974</v>
      </c>
      <c r="H726" s="14">
        <v>25.8526</v>
      </c>
      <c r="I726" s="7">
        <v>25.729</v>
      </c>
      <c r="J726" s="7">
        <v>26.0337</v>
      </c>
      <c r="K726" s="7"/>
      <c r="L726" s="7"/>
      <c r="M726" s="7"/>
      <c r="N726" s="7">
        <v>25.0379</v>
      </c>
      <c r="O726" s="8">
        <v>19.2349</v>
      </c>
      <c r="P726" s="7"/>
      <c r="Q726" s="7">
        <v>13.051</v>
      </c>
      <c r="R726" s="57">
        <v>13.051</v>
      </c>
      <c r="S726" s="8">
        <v>13.051</v>
      </c>
    </row>
    <row r="727" spans="1:19" s="12" customFormat="1" ht="16.5" customHeight="1">
      <c r="A727" s="3"/>
      <c r="B727" s="13" t="s">
        <v>276</v>
      </c>
      <c r="C727" s="7">
        <v>25.7379</v>
      </c>
      <c r="D727" s="7">
        <v>25.315</v>
      </c>
      <c r="E727" s="7">
        <v>25.6928</v>
      </c>
      <c r="F727" s="7">
        <v>25.5648</v>
      </c>
      <c r="G727" s="7">
        <v>23.9122</v>
      </c>
      <c r="H727" s="14">
        <v>25.4818</v>
      </c>
      <c r="I727" s="7">
        <v>25.0994</v>
      </c>
      <c r="J727" s="7">
        <v>25.5309</v>
      </c>
      <c r="K727" s="7"/>
      <c r="L727" s="7"/>
      <c r="M727" s="7"/>
      <c r="N727" s="7">
        <v>24.5087</v>
      </c>
      <c r="O727" s="8">
        <v>18.869</v>
      </c>
      <c r="P727" s="7"/>
      <c r="Q727" s="7">
        <v>14.051</v>
      </c>
      <c r="R727" s="57">
        <v>14.051</v>
      </c>
      <c r="S727" s="8">
        <v>14.051</v>
      </c>
    </row>
    <row r="728" spans="1:19" s="12" customFormat="1" ht="16.5" customHeight="1">
      <c r="A728" s="3"/>
      <c r="B728" s="4" t="s">
        <v>13</v>
      </c>
      <c r="C728" s="56">
        <f>(C723*3+C724*7+C725*7+C726*7+C727*4)/28</f>
        <v>25.832660714285712</v>
      </c>
      <c r="D728" s="11">
        <f aca="true" t="shared" si="101" ref="D728:S728">(D723*3+D724*7+D725*7+D726*7+D727*4)/28</f>
        <v>25.409007142857142</v>
      </c>
      <c r="E728" s="11">
        <f t="shared" si="101"/>
        <v>25.778010714285717</v>
      </c>
      <c r="F728" s="11">
        <f t="shared" si="101"/>
        <v>25.64043571428571</v>
      </c>
      <c r="G728" s="11">
        <f t="shared" si="101"/>
        <v>23.9264</v>
      </c>
      <c r="H728" s="11">
        <f t="shared" si="101"/>
        <v>25.566282142857144</v>
      </c>
      <c r="I728" s="11">
        <f t="shared" si="101"/>
        <v>25.581153571428576</v>
      </c>
      <c r="J728" s="11">
        <f t="shared" si="101"/>
        <v>25.81239285714286</v>
      </c>
      <c r="K728" s="11"/>
      <c r="L728" s="11"/>
      <c r="M728" s="11"/>
      <c r="N728" s="11">
        <f t="shared" si="101"/>
        <v>24.929489285714286</v>
      </c>
      <c r="O728" s="38">
        <f t="shared" si="101"/>
        <v>19.213178571428575</v>
      </c>
      <c r="P728" s="11"/>
      <c r="Q728" s="11">
        <f t="shared" si="101"/>
        <v>12.122428571428571</v>
      </c>
      <c r="R728" s="48">
        <f t="shared" si="101"/>
        <v>12.122428571428571</v>
      </c>
      <c r="S728" s="38">
        <f t="shared" si="101"/>
        <v>12.122428571428571</v>
      </c>
    </row>
    <row r="729" spans="1:19" s="12" customFormat="1" ht="16.5" customHeight="1">
      <c r="A729" s="3"/>
      <c r="B729" s="13" t="s">
        <v>54</v>
      </c>
      <c r="C729" s="7">
        <v>24.7251</v>
      </c>
      <c r="D729" s="7">
        <v>24.3032</v>
      </c>
      <c r="E729" s="7">
        <v>24.758</v>
      </c>
      <c r="F729" s="7">
        <v>24.7081</v>
      </c>
      <c r="G729" s="7">
        <v>23.5648</v>
      </c>
      <c r="H729" s="14">
        <v>24.5477</v>
      </c>
      <c r="I729" s="7">
        <v>24.3916</v>
      </c>
      <c r="J729" s="7">
        <v>24.9143</v>
      </c>
      <c r="K729" s="7"/>
      <c r="L729" s="7"/>
      <c r="M729" s="7"/>
      <c r="N729" s="7">
        <v>23.8604</v>
      </c>
      <c r="O729" s="8">
        <v>18.6749</v>
      </c>
      <c r="P729" s="7"/>
      <c r="Q729" s="7">
        <v>9.9705</v>
      </c>
      <c r="R729" s="57">
        <v>9.9705</v>
      </c>
      <c r="S729" s="8">
        <v>9.9705</v>
      </c>
    </row>
    <row r="730" spans="1:19" s="12" customFormat="1" ht="16.5" customHeight="1">
      <c r="A730" s="3"/>
      <c r="B730" s="13" t="s">
        <v>377</v>
      </c>
      <c r="C730" s="7">
        <v>24.4376</v>
      </c>
      <c r="D730" s="7">
        <v>24.0161</v>
      </c>
      <c r="E730" s="7">
        <v>24.4992</v>
      </c>
      <c r="F730" s="7">
        <v>24.478</v>
      </c>
      <c r="G730" s="7">
        <v>23.5216</v>
      </c>
      <c r="H730" s="14">
        <v>24.2891</v>
      </c>
      <c r="I730" s="7">
        <v>24.014</v>
      </c>
      <c r="J730" s="7">
        <v>24.5684</v>
      </c>
      <c r="K730" s="7"/>
      <c r="L730" s="7"/>
      <c r="M730" s="7"/>
      <c r="N730" s="7">
        <v>23.4983</v>
      </c>
      <c r="O730" s="8">
        <v>18.7203</v>
      </c>
      <c r="P730" s="7"/>
      <c r="Q730" s="7">
        <v>9.9705</v>
      </c>
      <c r="R730" s="57">
        <v>9.9705</v>
      </c>
      <c r="S730" s="8">
        <v>9.9705</v>
      </c>
    </row>
    <row r="731" spans="1:19" s="12" customFormat="1" ht="16.5" customHeight="1">
      <c r="A731" s="3"/>
      <c r="B731" s="13" t="s">
        <v>378</v>
      </c>
      <c r="C731" s="7">
        <v>24.0853</v>
      </c>
      <c r="D731" s="7">
        <v>23.6655</v>
      </c>
      <c r="E731" s="7">
        <v>24.1814</v>
      </c>
      <c r="F731" s="7">
        <v>24.1951</v>
      </c>
      <c r="G731" s="7">
        <v>23.4688</v>
      </c>
      <c r="H731" s="14">
        <v>23.9723</v>
      </c>
      <c r="I731" s="7">
        <v>23.6694</v>
      </c>
      <c r="J731" s="7">
        <v>24.2434</v>
      </c>
      <c r="K731" s="7"/>
      <c r="L731" s="7"/>
      <c r="M731" s="7"/>
      <c r="N731" s="7">
        <v>23.1723</v>
      </c>
      <c r="O731" s="8">
        <v>18.7899</v>
      </c>
      <c r="P731" s="7"/>
      <c r="Q731" s="7">
        <v>9.9705</v>
      </c>
      <c r="R731" s="57">
        <v>9.9705</v>
      </c>
      <c r="S731" s="8">
        <v>9.9705</v>
      </c>
    </row>
    <row r="732" spans="1:19" s="12" customFormat="1" ht="16.5" customHeight="1">
      <c r="A732" s="3"/>
      <c r="B732" s="13" t="s">
        <v>379</v>
      </c>
      <c r="C732" s="7">
        <v>23.5306</v>
      </c>
      <c r="D732" s="7"/>
      <c r="E732" s="7">
        <v>23.6803</v>
      </c>
      <c r="F732" s="7">
        <v>23.7486</v>
      </c>
      <c r="G732" s="7">
        <v>23.3856</v>
      </c>
      <c r="H732" s="14">
        <v>23.4736</v>
      </c>
      <c r="I732" s="7">
        <v>22.9074</v>
      </c>
      <c r="J732" s="7">
        <v>23.56</v>
      </c>
      <c r="K732" s="7"/>
      <c r="L732" s="7"/>
      <c r="M732" s="7"/>
      <c r="N732" s="7">
        <v>22.4705</v>
      </c>
      <c r="O732" s="8">
        <v>18.4305</v>
      </c>
      <c r="P732" s="7"/>
      <c r="Q732" s="7">
        <v>9.9705</v>
      </c>
      <c r="R732" s="57">
        <v>9.9705</v>
      </c>
      <c r="S732" s="8">
        <v>9.9705</v>
      </c>
    </row>
    <row r="733" spans="1:19" s="12" customFormat="1" ht="16.5" customHeight="1">
      <c r="A733" s="3"/>
      <c r="B733" s="13" t="s">
        <v>380</v>
      </c>
      <c r="C733" s="7">
        <v>23.5126</v>
      </c>
      <c r="D733" s="7"/>
      <c r="E733" s="7">
        <v>23.6639</v>
      </c>
      <c r="F733" s="7">
        <v>23.7337</v>
      </c>
      <c r="G733" s="7">
        <v>23.3829</v>
      </c>
      <c r="H733" s="14">
        <v>23.4575</v>
      </c>
      <c r="I733" s="7">
        <v>22.6868</v>
      </c>
      <c r="J733" s="7">
        <v>23.3935</v>
      </c>
      <c r="K733" s="7"/>
      <c r="L733" s="7"/>
      <c r="M733" s="7"/>
      <c r="N733" s="7">
        <v>22.3052</v>
      </c>
      <c r="O733" s="8">
        <v>18.3508</v>
      </c>
      <c r="P733" s="7"/>
      <c r="Q733" s="7">
        <v>9.9705</v>
      </c>
      <c r="R733" s="57">
        <v>9.9705</v>
      </c>
      <c r="S733" s="8">
        <v>9.9705</v>
      </c>
    </row>
    <row r="734" spans="1:19" s="12" customFormat="1" ht="16.5" customHeight="1">
      <c r="A734" s="3"/>
      <c r="B734" s="4" t="s">
        <v>13</v>
      </c>
      <c r="C734" s="56">
        <f>(C729*3+C730*7+C731*7+C732*7+C733*7)/31</f>
        <v>23.972193548387096</v>
      </c>
      <c r="D734" s="11">
        <f>(D729*3+D730*7+D731*7+D732*7+D733*7)/31</f>
        <v>13.118735483870969</v>
      </c>
      <c r="E734" s="11">
        <f aca="true" t="shared" si="102" ref="E734:S734">(E729*3+E730*7+E731*7+E732*7+E733*7)/31</f>
        <v>24.078954838709677</v>
      </c>
      <c r="F734" s="11">
        <f t="shared" si="102"/>
        <v>24.103616129032257</v>
      </c>
      <c r="G734" s="11">
        <f t="shared" si="102"/>
        <v>23.451829032258065</v>
      </c>
      <c r="H734" s="11">
        <f t="shared" si="102"/>
        <v>23.870664516129033</v>
      </c>
      <c r="I734" s="11">
        <f t="shared" si="102"/>
        <v>23.42316129032258</v>
      </c>
      <c r="J734" s="11">
        <f t="shared" si="102"/>
        <v>24.03548387096774</v>
      </c>
      <c r="K734" s="11"/>
      <c r="L734" s="11"/>
      <c r="M734" s="11"/>
      <c r="N734" s="11">
        <f t="shared" si="102"/>
        <v>22.95823548387097</v>
      </c>
      <c r="O734" s="38">
        <f t="shared" si="102"/>
        <v>18.582748387096775</v>
      </c>
      <c r="P734" s="11"/>
      <c r="Q734" s="11">
        <f t="shared" si="102"/>
        <v>9.9705</v>
      </c>
      <c r="R734" s="48">
        <f t="shared" si="102"/>
        <v>9.9705</v>
      </c>
      <c r="S734" s="38">
        <f t="shared" si="102"/>
        <v>9.9705</v>
      </c>
    </row>
    <row r="735" spans="1:19" s="12" customFormat="1" ht="16.5" customHeight="1">
      <c r="A735" s="3"/>
      <c r="B735" s="13" t="s">
        <v>226</v>
      </c>
      <c r="C735" s="7">
        <v>23.2919</v>
      </c>
      <c r="D735" s="7"/>
      <c r="E735" s="7">
        <v>23.4416</v>
      </c>
      <c r="F735" s="7">
        <v>23.5097</v>
      </c>
      <c r="G735" s="7">
        <v>23.1458</v>
      </c>
      <c r="H735" s="14">
        <v>23.2349</v>
      </c>
      <c r="I735" s="7">
        <v>22.9042</v>
      </c>
      <c r="J735" s="7">
        <v>23.5544</v>
      </c>
      <c r="K735" s="7"/>
      <c r="L735" s="7"/>
      <c r="M735" s="7"/>
      <c r="N735" s="7">
        <v>22.4685</v>
      </c>
      <c r="O735" s="8">
        <v>18.5164</v>
      </c>
      <c r="P735" s="7"/>
      <c r="Q735" s="7">
        <v>9.8684</v>
      </c>
      <c r="R735" s="57">
        <v>9.8684</v>
      </c>
      <c r="S735" s="8">
        <v>9.8684</v>
      </c>
    </row>
    <row r="736" spans="1:19" s="12" customFormat="1" ht="16.5" customHeight="1">
      <c r="A736" s="3"/>
      <c r="B736" s="13" t="s">
        <v>381</v>
      </c>
      <c r="C736" s="7">
        <v>21.8148</v>
      </c>
      <c r="D736" s="7"/>
      <c r="E736" s="7">
        <v>22.1108</v>
      </c>
      <c r="F736" s="7">
        <v>22.326</v>
      </c>
      <c r="G736" s="7">
        <v>22.9242</v>
      </c>
      <c r="H736" s="14">
        <v>21.9062</v>
      </c>
      <c r="I736" s="7">
        <v>22.138</v>
      </c>
      <c r="J736" s="7">
        <v>22.9095</v>
      </c>
      <c r="K736" s="7"/>
      <c r="L736" s="7"/>
      <c r="M736" s="7"/>
      <c r="N736" s="7">
        <v>21.8015</v>
      </c>
      <c r="O736" s="8">
        <v>17.9419</v>
      </c>
      <c r="P736" s="7"/>
      <c r="Q736" s="7">
        <v>9.8684</v>
      </c>
      <c r="R736" s="57">
        <v>9.8684</v>
      </c>
      <c r="S736" s="8">
        <v>9.8684</v>
      </c>
    </row>
    <row r="737" spans="1:19" s="12" customFormat="1" ht="16.5" customHeight="1">
      <c r="A737" s="3"/>
      <c r="B737" s="13" t="s">
        <v>382</v>
      </c>
      <c r="C737" s="7">
        <v>20.913</v>
      </c>
      <c r="D737" s="7"/>
      <c r="E737" s="7">
        <v>21.2982</v>
      </c>
      <c r="F737" s="7">
        <v>21.6029</v>
      </c>
      <c r="G737" s="7">
        <v>22.7889</v>
      </c>
      <c r="H737" s="14">
        <v>21.0951</v>
      </c>
      <c r="I737" s="7">
        <v>20.9375</v>
      </c>
      <c r="J737" s="7">
        <v>21.7306</v>
      </c>
      <c r="K737" s="7"/>
      <c r="L737" s="7"/>
      <c r="M737" s="7"/>
      <c r="N737" s="7">
        <v>20.5734</v>
      </c>
      <c r="O737" s="8">
        <v>17.3645</v>
      </c>
      <c r="P737" s="7"/>
      <c r="Q737" s="7">
        <v>9.8684</v>
      </c>
      <c r="R737" s="57">
        <v>9.8684</v>
      </c>
      <c r="S737" s="8">
        <v>9.8684</v>
      </c>
    </row>
    <row r="738" spans="1:19" s="12" customFormat="1" ht="16.5" customHeight="1">
      <c r="A738" s="3"/>
      <c r="B738" s="13" t="s">
        <v>383</v>
      </c>
      <c r="C738" s="7">
        <v>21.1556</v>
      </c>
      <c r="D738" s="7"/>
      <c r="E738" s="7">
        <v>21.5163</v>
      </c>
      <c r="F738" s="7">
        <v>21.7968</v>
      </c>
      <c r="G738" s="7">
        <v>22.8253</v>
      </c>
      <c r="H738" s="14">
        <v>21.3118</v>
      </c>
      <c r="I738" s="7">
        <v>20.8805</v>
      </c>
      <c r="J738" s="7">
        <v>21.7073</v>
      </c>
      <c r="K738" s="7"/>
      <c r="L738" s="7"/>
      <c r="M738" s="7"/>
      <c r="N738" s="7">
        <v>20.5645</v>
      </c>
      <c r="O738" s="8">
        <v>17.2564</v>
      </c>
      <c r="P738" s="7"/>
      <c r="Q738" s="7">
        <v>9.8684</v>
      </c>
      <c r="R738" s="57">
        <v>9.8684</v>
      </c>
      <c r="S738" s="8">
        <v>9.8684</v>
      </c>
    </row>
    <row r="739" spans="1:19" s="12" customFormat="1" ht="16.5" customHeight="1">
      <c r="A739" s="3"/>
      <c r="B739" s="13" t="s">
        <v>384</v>
      </c>
      <c r="C739" s="7">
        <v>21.8086</v>
      </c>
      <c r="D739" s="7"/>
      <c r="E739" s="7">
        <v>22.1061</v>
      </c>
      <c r="F739" s="7">
        <v>22.3223</v>
      </c>
      <c r="G739" s="7">
        <v>22.9233</v>
      </c>
      <c r="H739" s="14">
        <v>21.8988</v>
      </c>
      <c r="I739" s="7">
        <v>21.5238</v>
      </c>
      <c r="J739" s="7">
        <v>22.234</v>
      </c>
      <c r="K739" s="7"/>
      <c r="L739" s="7"/>
      <c r="M739" s="7"/>
      <c r="N739" s="7">
        <v>21.1922</v>
      </c>
      <c r="O739" s="8">
        <v>17.8201</v>
      </c>
      <c r="P739" s="7"/>
      <c r="Q739" s="7">
        <v>9.8684</v>
      </c>
      <c r="R739" s="57">
        <v>9.8684</v>
      </c>
      <c r="S739" s="8">
        <v>9.8684</v>
      </c>
    </row>
    <row r="740" spans="1:19" s="12" customFormat="1" ht="16.5" customHeight="1">
      <c r="A740" s="3"/>
      <c r="B740" s="4" t="s">
        <v>13</v>
      </c>
      <c r="C740" s="56">
        <f>(C735*7+C736*7+C737*7+C738*7+C739*2)/30</f>
        <v>21.79481</v>
      </c>
      <c r="D740" s="11"/>
      <c r="E740" s="11">
        <f aca="true" t="shared" si="103" ref="E740:S740">(E735*7+E736*7+E737*7+E738*7+E739*2)/30</f>
        <v>22.092683333333337</v>
      </c>
      <c r="F740" s="11">
        <f t="shared" si="103"/>
        <v>22.309746666666666</v>
      </c>
      <c r="G740" s="11">
        <f t="shared" si="103"/>
        <v>22.9212</v>
      </c>
      <c r="H740" s="11">
        <f t="shared" si="103"/>
        <v>21.887786666666663</v>
      </c>
      <c r="I740" s="11">
        <f t="shared" si="103"/>
        <v>21.702299999999997</v>
      </c>
      <c r="J740" s="11">
        <f t="shared" si="103"/>
        <v>22.459353333333333</v>
      </c>
      <c r="K740" s="11"/>
      <c r="L740" s="11"/>
      <c r="M740" s="11"/>
      <c r="N740" s="11">
        <f t="shared" si="103"/>
        <v>21.34132333333333</v>
      </c>
      <c r="O740" s="38">
        <f t="shared" si="103"/>
        <v>17.773153333333333</v>
      </c>
      <c r="P740" s="11"/>
      <c r="Q740" s="11">
        <f t="shared" si="103"/>
        <v>9.868400000000001</v>
      </c>
      <c r="R740" s="48">
        <f t="shared" si="103"/>
        <v>9.868400000000001</v>
      </c>
      <c r="S740" s="38">
        <f t="shared" si="103"/>
        <v>9.868400000000001</v>
      </c>
    </row>
    <row r="741" spans="1:19" s="12" customFormat="1" ht="16.5" customHeight="1">
      <c r="A741" s="3"/>
      <c r="B741" s="13" t="s">
        <v>230</v>
      </c>
      <c r="C741" s="7">
        <v>21.5803</v>
      </c>
      <c r="D741" s="7"/>
      <c r="E741" s="7">
        <v>22.2085</v>
      </c>
      <c r="F741" s="7">
        <v>22.755</v>
      </c>
      <c r="G741" s="7">
        <v>25.4985</v>
      </c>
      <c r="H741" s="14">
        <v>22.0003</v>
      </c>
      <c r="I741" s="7">
        <v>21.4207</v>
      </c>
      <c r="J741" s="7">
        <v>22.0674</v>
      </c>
      <c r="K741" s="7"/>
      <c r="L741" s="7"/>
      <c r="M741" s="7"/>
      <c r="N741" s="7">
        <v>21.0123</v>
      </c>
      <c r="O741" s="8">
        <v>17.9404</v>
      </c>
      <c r="P741" s="7"/>
      <c r="Q741" s="7">
        <v>9.7193</v>
      </c>
      <c r="R741" s="57">
        <v>9.7193</v>
      </c>
      <c r="S741" s="8">
        <v>9.7193</v>
      </c>
    </row>
    <row r="742" spans="1:19" s="12" customFormat="1" ht="16.5" customHeight="1">
      <c r="A742" s="3"/>
      <c r="B742" s="13" t="s">
        <v>385</v>
      </c>
      <c r="C742" s="7">
        <v>21.9662</v>
      </c>
      <c r="D742" s="7"/>
      <c r="E742" s="7">
        <v>22.5567</v>
      </c>
      <c r="F742" s="7">
        <v>23.065</v>
      </c>
      <c r="G742" s="7">
        <v>25.5564</v>
      </c>
      <c r="H742" s="14">
        <v>22.3473</v>
      </c>
      <c r="I742" s="7">
        <v>21.8622</v>
      </c>
      <c r="J742" s="7">
        <v>22.5147</v>
      </c>
      <c r="K742" s="7"/>
      <c r="L742" s="7"/>
      <c r="M742" s="7"/>
      <c r="N742" s="7">
        <v>21.5207</v>
      </c>
      <c r="O742" s="8">
        <v>18.2126</v>
      </c>
      <c r="P742" s="7"/>
      <c r="Q742" s="7">
        <v>9.7193</v>
      </c>
      <c r="R742" s="57">
        <v>9.7193</v>
      </c>
      <c r="S742" s="8">
        <v>9.7193</v>
      </c>
    </row>
    <row r="743" spans="1:19" s="12" customFormat="1" ht="16.5" customHeight="1">
      <c r="A743" s="3"/>
      <c r="B743" s="13" t="s">
        <v>386</v>
      </c>
      <c r="C743" s="7">
        <v>22.2983</v>
      </c>
      <c r="D743" s="7"/>
      <c r="E743" s="7">
        <v>22.8564</v>
      </c>
      <c r="F743" s="7">
        <v>23.3319</v>
      </c>
      <c r="G743" s="7">
        <v>25.6062</v>
      </c>
      <c r="H743" s="14">
        <v>22.646</v>
      </c>
      <c r="I743" s="7">
        <v>21.9087</v>
      </c>
      <c r="J743" s="7">
        <v>22.7595</v>
      </c>
      <c r="K743" s="7"/>
      <c r="L743" s="7"/>
      <c r="M743" s="7"/>
      <c r="N743" s="7">
        <v>21.7645</v>
      </c>
      <c r="O743" s="8">
        <v>17.8313</v>
      </c>
      <c r="P743" s="7"/>
      <c r="Q743" s="7">
        <v>9.7193</v>
      </c>
      <c r="R743" s="57">
        <v>9.7193</v>
      </c>
      <c r="S743" s="8">
        <v>9.7193</v>
      </c>
    </row>
    <row r="744" spans="1:19" s="12" customFormat="1" ht="16.5" customHeight="1">
      <c r="A744" s="3"/>
      <c r="B744" s="13" t="s">
        <v>387</v>
      </c>
      <c r="C744" s="7">
        <v>22.5603</v>
      </c>
      <c r="D744" s="7"/>
      <c r="E744" s="7">
        <v>23.0932</v>
      </c>
      <c r="F744" s="7">
        <v>23.543</v>
      </c>
      <c r="G744" s="7">
        <v>25.6455</v>
      </c>
      <c r="H744" s="14">
        <v>22.8826</v>
      </c>
      <c r="I744" s="7">
        <v>22.1513</v>
      </c>
      <c r="J744" s="7">
        <v>23.0075</v>
      </c>
      <c r="K744" s="7"/>
      <c r="L744" s="7"/>
      <c r="M744" s="7"/>
      <c r="N744" s="7">
        <v>21.9922</v>
      </c>
      <c r="O744" s="8">
        <v>17.961</v>
      </c>
      <c r="P744" s="7"/>
      <c r="Q744" s="7">
        <v>9.7193</v>
      </c>
      <c r="R744" s="57">
        <v>9.7193</v>
      </c>
      <c r="S744" s="8">
        <v>9.7193</v>
      </c>
    </row>
    <row r="745" spans="1:19" s="12" customFormat="1" ht="16.5" customHeight="1">
      <c r="A745" s="3"/>
      <c r="B745" s="13" t="s">
        <v>388</v>
      </c>
      <c r="C745" s="7">
        <v>22.8408</v>
      </c>
      <c r="D745" s="7"/>
      <c r="E745" s="7">
        <v>23.3465</v>
      </c>
      <c r="F745" s="7">
        <v>23.7687</v>
      </c>
      <c r="G745" s="7">
        <v>25.6876</v>
      </c>
      <c r="H745" s="14">
        <v>23.1353</v>
      </c>
      <c r="I745" s="7">
        <v>22.1961</v>
      </c>
      <c r="J745" s="7">
        <v>23.0846</v>
      </c>
      <c r="K745" s="7"/>
      <c r="L745" s="7"/>
      <c r="M745" s="7"/>
      <c r="N745" s="7">
        <v>22.031</v>
      </c>
      <c r="O745" s="8">
        <v>18.1282</v>
      </c>
      <c r="P745" s="7"/>
      <c r="Q745" s="7">
        <v>9.7193</v>
      </c>
      <c r="R745" s="57">
        <v>9.7193</v>
      </c>
      <c r="S745" s="8">
        <v>9.7193</v>
      </c>
    </row>
    <row r="746" spans="1:19" s="12" customFormat="1" ht="16.5" customHeight="1">
      <c r="A746" s="3"/>
      <c r="B746" s="4" t="s">
        <v>13</v>
      </c>
      <c r="C746" s="56">
        <f>(C741*5+C742*7+C743*7+C744*7+C745*5)/31</f>
        <v>22.254164516129027</v>
      </c>
      <c r="D746" s="11"/>
      <c r="E746" s="11">
        <f aca="true" t="shared" si="104" ref="E746:S746">(E741*5+E742*7+E743*7+E744*7+E745*5)/31</f>
        <v>22.81674516129032</v>
      </c>
      <c r="F746" s="11">
        <f t="shared" si="104"/>
        <v>23.29670322580645</v>
      </c>
      <c r="G746" s="11">
        <f>(G741*5+G742*7+G743*7+G744*7+G745*5)/31</f>
        <v>25.59958709677419</v>
      </c>
      <c r="H746" s="11">
        <f t="shared" si="104"/>
        <v>22.606751612903228</v>
      </c>
      <c r="I746" s="11">
        <f t="shared" si="104"/>
        <v>21.920625806451614</v>
      </c>
      <c r="J746" s="11">
        <f t="shared" si="104"/>
        <v>22.701029032258063</v>
      </c>
      <c r="K746" s="11"/>
      <c r="L746" s="11"/>
      <c r="M746" s="11"/>
      <c r="N746" s="11">
        <f t="shared" si="104"/>
        <v>21.682525806451615</v>
      </c>
      <c r="O746" s="38">
        <f t="shared" si="104"/>
        <v>18.012170967741934</v>
      </c>
      <c r="P746" s="11"/>
      <c r="Q746" s="11">
        <f t="shared" si="104"/>
        <v>9.719299999999999</v>
      </c>
      <c r="R746" s="48">
        <f t="shared" si="104"/>
        <v>9.719299999999999</v>
      </c>
      <c r="S746" s="38">
        <f t="shared" si="104"/>
        <v>9.719299999999999</v>
      </c>
    </row>
    <row r="747" spans="1:19" s="12" customFormat="1" ht="16.5" customHeight="1">
      <c r="A747" s="3"/>
      <c r="B747" s="13" t="s">
        <v>233</v>
      </c>
      <c r="C747" s="7">
        <v>22.7579</v>
      </c>
      <c r="D747" s="7"/>
      <c r="E747" s="7">
        <v>23.0137</v>
      </c>
      <c r="F747" s="7">
        <v>23.1856</v>
      </c>
      <c r="G747" s="7">
        <v>23.4737</v>
      </c>
      <c r="H747" s="14">
        <v>22.8016</v>
      </c>
      <c r="I747" s="7">
        <v>22.2649</v>
      </c>
      <c r="J747" s="7">
        <v>23.1476</v>
      </c>
      <c r="K747" s="7"/>
      <c r="L747" s="7"/>
      <c r="M747" s="7"/>
      <c r="N747" s="7">
        <v>22.0934</v>
      </c>
      <c r="O747" s="8">
        <v>18.2055</v>
      </c>
      <c r="P747" s="7"/>
      <c r="Q747" s="7">
        <v>9.9554</v>
      </c>
      <c r="R747" s="7">
        <v>9.9554</v>
      </c>
      <c r="S747" s="8">
        <v>9.9554</v>
      </c>
    </row>
    <row r="748" spans="1:19" s="12" customFormat="1" ht="16.5" customHeight="1">
      <c r="A748" s="3"/>
      <c r="B748" s="13" t="s">
        <v>389</v>
      </c>
      <c r="C748" s="7">
        <v>23.3803</v>
      </c>
      <c r="D748" s="7"/>
      <c r="E748" s="7">
        <v>23.5755</v>
      </c>
      <c r="F748" s="7">
        <v>23.686</v>
      </c>
      <c r="G748" s="7">
        <v>23.567</v>
      </c>
      <c r="H748" s="14">
        <v>23.3612</v>
      </c>
      <c r="I748" s="7">
        <v>22.4096</v>
      </c>
      <c r="J748" s="7">
        <v>23.4169</v>
      </c>
      <c r="K748" s="7"/>
      <c r="L748" s="7"/>
      <c r="M748" s="7"/>
      <c r="N748" s="7">
        <v>22.3192</v>
      </c>
      <c r="O748" s="8">
        <v>18.5044</v>
      </c>
      <c r="P748" s="7"/>
      <c r="Q748" s="7">
        <v>9.9554</v>
      </c>
      <c r="R748" s="7">
        <v>9.9554</v>
      </c>
      <c r="S748" s="8">
        <v>9.9554</v>
      </c>
    </row>
    <row r="749" spans="1:19" s="12" customFormat="1" ht="16.5" customHeight="1">
      <c r="A749" s="3"/>
      <c r="B749" s="13" t="s">
        <v>129</v>
      </c>
      <c r="C749" s="7">
        <v>23.8724</v>
      </c>
      <c r="D749" s="7"/>
      <c r="E749" s="7">
        <v>24.0205</v>
      </c>
      <c r="F749" s="7">
        <v>24.0828</v>
      </c>
      <c r="G749" s="7">
        <v>23.6409</v>
      </c>
      <c r="H749" s="14">
        <v>23.8035</v>
      </c>
      <c r="I749" s="7">
        <v>23.0078</v>
      </c>
      <c r="J749" s="7">
        <v>24.1083</v>
      </c>
      <c r="K749" s="7"/>
      <c r="L749" s="7"/>
      <c r="M749" s="7"/>
      <c r="N749" s="7">
        <v>23.0055</v>
      </c>
      <c r="O749" s="8">
        <v>19.0584</v>
      </c>
      <c r="P749" s="7"/>
      <c r="Q749" s="7">
        <v>9.9554</v>
      </c>
      <c r="R749" s="7">
        <v>9.9554</v>
      </c>
      <c r="S749" s="8">
        <v>9.9554</v>
      </c>
    </row>
    <row r="750" spans="1:19" s="12" customFormat="1" ht="16.5" customHeight="1">
      <c r="A750" s="3"/>
      <c r="B750" s="13" t="s">
        <v>390</v>
      </c>
      <c r="C750" s="7">
        <v>23.9847</v>
      </c>
      <c r="D750" s="7"/>
      <c r="E750" s="7">
        <v>24.1217</v>
      </c>
      <c r="F750" s="7">
        <v>24.1729</v>
      </c>
      <c r="G750" s="7">
        <v>23.6577</v>
      </c>
      <c r="H750" s="14">
        <v>23.9045</v>
      </c>
      <c r="I750" s="7">
        <v>23.4791</v>
      </c>
      <c r="J750" s="7">
        <v>24.5545</v>
      </c>
      <c r="K750" s="7"/>
      <c r="L750" s="7"/>
      <c r="M750" s="7"/>
      <c r="N750" s="7">
        <v>23.4624</v>
      </c>
      <c r="O750" s="8">
        <v>19.3235</v>
      </c>
      <c r="P750" s="7"/>
      <c r="Q750" s="7">
        <v>9.9554</v>
      </c>
      <c r="R750" s="7">
        <v>9.9554</v>
      </c>
      <c r="S750" s="8">
        <v>9.9554</v>
      </c>
    </row>
    <row r="751" spans="1:19" s="12" customFormat="1" ht="16.5" customHeight="1">
      <c r="A751" s="3"/>
      <c r="B751" s="13" t="s">
        <v>391</v>
      </c>
      <c r="C751" s="7">
        <v>23.737</v>
      </c>
      <c r="D751" s="7"/>
      <c r="E751" s="7">
        <v>23.9001</v>
      </c>
      <c r="F751" s="7">
        <v>23.9768</v>
      </c>
      <c r="G751" s="7">
        <v>23.6205</v>
      </c>
      <c r="H751" s="14">
        <v>23.6814</v>
      </c>
      <c r="I751" s="7">
        <v>23.18</v>
      </c>
      <c r="J751" s="7">
        <v>24.3862</v>
      </c>
      <c r="K751" s="7"/>
      <c r="L751" s="7"/>
      <c r="M751" s="7"/>
      <c r="N751" s="7">
        <v>23.2898</v>
      </c>
      <c r="O751" s="8">
        <v>18.9114</v>
      </c>
      <c r="P751" s="7"/>
      <c r="Q751" s="7">
        <v>9.9554</v>
      </c>
      <c r="R751" s="7">
        <v>9.9554</v>
      </c>
      <c r="S751" s="8">
        <v>9.9554</v>
      </c>
    </row>
    <row r="752" spans="1:19" s="12" customFormat="1" ht="16.5" customHeight="1">
      <c r="A752" s="3"/>
      <c r="B752" s="4" t="s">
        <v>13</v>
      </c>
      <c r="C752" s="56">
        <f>(C747*2+C748*7+C749*7+C750*7+C751*7)/30</f>
        <v>23.677886666666666</v>
      </c>
      <c r="D752" s="11"/>
      <c r="E752" s="11">
        <f aca="true" t="shared" si="105" ref="E752:S752">(E747*2+E748*7+E749*7+E750*7+E751*7)/30</f>
        <v>23.845066666666664</v>
      </c>
      <c r="F752" s="11">
        <f t="shared" si="105"/>
        <v>23.92669</v>
      </c>
      <c r="G752" s="11">
        <f t="shared" si="105"/>
        <v>23.611669999999997</v>
      </c>
      <c r="H752" s="11">
        <f t="shared" si="105"/>
        <v>23.628580000000003</v>
      </c>
      <c r="I752" s="11">
        <f t="shared" si="105"/>
        <v>22.968843333333332</v>
      </c>
      <c r="J752" s="11">
        <f t="shared" si="105"/>
        <v>24.051883333333333</v>
      </c>
      <c r="K752" s="11"/>
      <c r="L752" s="11"/>
      <c r="M752" s="11"/>
      <c r="N752" s="11">
        <f t="shared" si="105"/>
        <v>22.95750333333333</v>
      </c>
      <c r="O752" s="38">
        <f t="shared" si="105"/>
        <v>18.899829999999998</v>
      </c>
      <c r="P752" s="11"/>
      <c r="Q752" s="11">
        <f t="shared" si="105"/>
        <v>9.9554</v>
      </c>
      <c r="R752" s="48">
        <f>(R747*2+R748*7+R749*7+R750*7+R751*7)/30</f>
        <v>9.9554</v>
      </c>
      <c r="S752" s="38">
        <f t="shared" si="105"/>
        <v>9.9554</v>
      </c>
    </row>
    <row r="753" spans="1:19" s="12" customFormat="1" ht="16.5" customHeight="1">
      <c r="A753" s="3"/>
      <c r="B753" s="13" t="s">
        <v>238</v>
      </c>
      <c r="C753" s="7">
        <v>24.0937</v>
      </c>
      <c r="D753" s="7"/>
      <c r="E753" s="7">
        <v>24.485</v>
      </c>
      <c r="F753" s="7">
        <v>24.7899</v>
      </c>
      <c r="G753" s="7">
        <v>25.9181</v>
      </c>
      <c r="H753" s="14">
        <v>24.2663</v>
      </c>
      <c r="I753" s="7">
        <v>23.465</v>
      </c>
      <c r="J753" s="7">
        <v>24.6791</v>
      </c>
      <c r="K753" s="7"/>
      <c r="L753" s="7"/>
      <c r="M753" s="7"/>
      <c r="N753" s="7">
        <v>23.6138</v>
      </c>
      <c r="O753" s="8">
        <v>18.511</v>
      </c>
      <c r="P753" s="7"/>
      <c r="Q753" s="7">
        <v>10.3047</v>
      </c>
      <c r="R753" s="7">
        <v>10.3047</v>
      </c>
      <c r="S753" s="8">
        <v>10.3047</v>
      </c>
    </row>
    <row r="754" spans="1:19" s="12" customFormat="1" ht="16.5" customHeight="1">
      <c r="A754" s="3"/>
      <c r="B754" s="13" t="s">
        <v>392</v>
      </c>
      <c r="C754" s="7">
        <v>25.2667</v>
      </c>
      <c r="D754" s="7"/>
      <c r="E754" s="7">
        <v>25.5414</v>
      </c>
      <c r="F754" s="7">
        <v>25.7295</v>
      </c>
      <c r="G754" s="7">
        <v>26.094</v>
      </c>
      <c r="H754" s="14">
        <v>25.3224</v>
      </c>
      <c r="I754" s="7">
        <v>24.1068</v>
      </c>
      <c r="J754" s="7">
        <v>25.1332</v>
      </c>
      <c r="K754" s="7"/>
      <c r="L754" s="7"/>
      <c r="M754" s="7"/>
      <c r="N754" s="7">
        <v>24.1146</v>
      </c>
      <c r="O754" s="8">
        <v>18.693</v>
      </c>
      <c r="P754" s="7"/>
      <c r="Q754" s="7">
        <v>10.3047</v>
      </c>
      <c r="R754" s="7">
        <v>10.3047</v>
      </c>
      <c r="S754" s="8">
        <v>10.3047</v>
      </c>
    </row>
    <row r="755" spans="1:19" s="12" customFormat="1" ht="16.5" customHeight="1">
      <c r="A755" s="3"/>
      <c r="B755" s="13" t="s">
        <v>393</v>
      </c>
      <c r="C755" s="7">
        <v>25.6516</v>
      </c>
      <c r="D755" s="7"/>
      <c r="E755" s="7">
        <v>25.8872</v>
      </c>
      <c r="F755" s="7">
        <v>26.0364</v>
      </c>
      <c r="G755" s="7">
        <v>26.1517</v>
      </c>
      <c r="H755" s="14">
        <v>25.6696</v>
      </c>
      <c r="I755" s="7">
        <v>24.3533</v>
      </c>
      <c r="J755" s="7">
        <v>25.1767</v>
      </c>
      <c r="K755" s="7"/>
      <c r="L755" s="7"/>
      <c r="M755" s="7"/>
      <c r="N755" s="7">
        <v>24.184</v>
      </c>
      <c r="O755" s="8">
        <v>18.6742</v>
      </c>
      <c r="P755" s="7"/>
      <c r="Q755" s="7">
        <v>10.3047</v>
      </c>
      <c r="R755" s="7">
        <v>10.3047</v>
      </c>
      <c r="S755" s="8">
        <v>10.3047</v>
      </c>
    </row>
    <row r="756" spans="1:19" s="12" customFormat="1" ht="16.5" customHeight="1">
      <c r="A756" s="3"/>
      <c r="B756" s="13" t="s">
        <v>394</v>
      </c>
      <c r="C756" s="7">
        <v>24.3951</v>
      </c>
      <c r="D756" s="7"/>
      <c r="E756" s="7">
        <v>24.7561</v>
      </c>
      <c r="F756" s="7">
        <v>25.0308</v>
      </c>
      <c r="G756" s="7">
        <v>25.9633</v>
      </c>
      <c r="H756" s="14">
        <v>24.5392</v>
      </c>
      <c r="I756" s="7">
        <v>24.3539</v>
      </c>
      <c r="J756" s="7">
        <v>25.0906</v>
      </c>
      <c r="K756" s="7"/>
      <c r="L756" s="7"/>
      <c r="M756" s="7"/>
      <c r="N756" s="7">
        <v>24.1175</v>
      </c>
      <c r="O756" s="8">
        <v>18.6977</v>
      </c>
      <c r="P756" s="7"/>
      <c r="Q756" s="7">
        <v>10.3047</v>
      </c>
      <c r="R756" s="7">
        <v>10.3047</v>
      </c>
      <c r="S756" s="8">
        <v>10.3047</v>
      </c>
    </row>
    <row r="757" spans="1:19" s="12" customFormat="1" ht="16.5" customHeight="1">
      <c r="A757" s="3"/>
      <c r="B757" s="13" t="s">
        <v>395</v>
      </c>
      <c r="C757" s="7">
        <v>23.9941</v>
      </c>
      <c r="D757" s="7"/>
      <c r="E757" s="7">
        <v>24.3959</v>
      </c>
      <c r="F757" s="7">
        <v>24.7111</v>
      </c>
      <c r="G757" s="7">
        <v>25.9031</v>
      </c>
      <c r="H757" s="14">
        <v>24.1784</v>
      </c>
      <c r="I757" s="7">
        <v>24.2972</v>
      </c>
      <c r="J757" s="7">
        <v>24.9634</v>
      </c>
      <c r="K757" s="7"/>
      <c r="L757" s="7"/>
      <c r="M757" s="7"/>
      <c r="N757" s="7">
        <v>24.0117</v>
      </c>
      <c r="O757" s="8">
        <v>18.6462</v>
      </c>
      <c r="P757" s="7"/>
      <c r="Q757" s="7">
        <v>10.3047</v>
      </c>
      <c r="R757" s="7">
        <v>10.3047</v>
      </c>
      <c r="S757" s="8">
        <v>10.3047</v>
      </c>
    </row>
    <row r="758" spans="1:19" s="12" customFormat="1" ht="16.5" customHeight="1">
      <c r="A758" s="3"/>
      <c r="B758" s="4" t="s">
        <v>13</v>
      </c>
      <c r="C758" s="56">
        <f>(C753*7+C754*7+C755*7+C756*7+C757*3)/31</f>
        <v>24.76877419354839</v>
      </c>
      <c r="D758" s="11"/>
      <c r="E758" s="11">
        <f aca="true" t="shared" si="106" ref="E758:S758">(E753*7+E754*7+E755*7+E756*7+E757*3)/31</f>
        <v>25.092761290322574</v>
      </c>
      <c r="F758" s="11">
        <f t="shared" si="106"/>
        <v>25.330306451612902</v>
      </c>
      <c r="G758" s="11">
        <f t="shared" si="106"/>
        <v>26.019322580645163</v>
      </c>
      <c r="H758" s="11">
        <f t="shared" si="106"/>
        <v>24.874764516129034</v>
      </c>
      <c r="I758" s="11">
        <f t="shared" si="106"/>
        <v>24.091761290322584</v>
      </c>
      <c r="J758" s="11">
        <f t="shared" si="106"/>
        <v>25.014432258064517</v>
      </c>
      <c r="K758" s="11"/>
      <c r="L758" s="11"/>
      <c r="M758" s="11"/>
      <c r="N758" s="11">
        <f t="shared" si="106"/>
        <v>24.007883870967742</v>
      </c>
      <c r="O758" s="38">
        <f t="shared" si="106"/>
        <v>18.644190322580645</v>
      </c>
      <c r="P758" s="11"/>
      <c r="Q758" s="11">
        <f t="shared" si="106"/>
        <v>10.304700000000002</v>
      </c>
      <c r="R758" s="48">
        <f>(R753*7+R754*7+R755*7+R756*7+R757*3)/31</f>
        <v>10.304700000000002</v>
      </c>
      <c r="S758" s="38">
        <f t="shared" si="106"/>
        <v>10.304700000000002</v>
      </c>
    </row>
    <row r="759" spans="1:19" s="12" customFormat="1" ht="16.5" customHeight="1">
      <c r="A759" s="3"/>
      <c r="B759" s="13" t="s">
        <v>244</v>
      </c>
      <c r="C759" s="7">
        <v>23.9957</v>
      </c>
      <c r="D759" s="7"/>
      <c r="E759" s="7">
        <v>24.6912</v>
      </c>
      <c r="F759" s="7">
        <v>25.2996</v>
      </c>
      <c r="G759" s="7">
        <v>28.3938</v>
      </c>
      <c r="H759" s="14">
        <v>24.4726</v>
      </c>
      <c r="I759" s="7">
        <v>24.5882</v>
      </c>
      <c r="J759" s="7">
        <v>25.128</v>
      </c>
      <c r="K759" s="7"/>
      <c r="L759" s="7"/>
      <c r="M759" s="7"/>
      <c r="N759" s="7">
        <v>24.1809</v>
      </c>
      <c r="O759" s="8">
        <v>18.6343</v>
      </c>
      <c r="P759" s="7"/>
      <c r="Q759" s="7">
        <v>10.4027</v>
      </c>
      <c r="R759" s="7">
        <v>10.4027</v>
      </c>
      <c r="S759" s="8">
        <v>10.4027</v>
      </c>
    </row>
    <row r="760" spans="1:19" s="12" customFormat="1" ht="16.5" customHeight="1">
      <c r="A760" s="3"/>
      <c r="B760" s="13" t="s">
        <v>396</v>
      </c>
      <c r="C760" s="7">
        <v>23.7652</v>
      </c>
      <c r="D760" s="7"/>
      <c r="E760" s="7">
        <v>24.4839</v>
      </c>
      <c r="F760" s="7">
        <v>25.1154</v>
      </c>
      <c r="G760" s="7">
        <v>28.3593</v>
      </c>
      <c r="H760" s="14">
        <v>24.2653</v>
      </c>
      <c r="I760" s="7">
        <v>24.69</v>
      </c>
      <c r="J760" s="7">
        <v>25.189</v>
      </c>
      <c r="K760" s="7"/>
      <c r="L760" s="7"/>
      <c r="M760" s="7"/>
      <c r="N760" s="7">
        <v>24.2582</v>
      </c>
      <c r="O760" s="8">
        <v>18.6229</v>
      </c>
      <c r="P760" s="7"/>
      <c r="Q760" s="7">
        <v>10.4027</v>
      </c>
      <c r="R760" s="7">
        <v>10.4027</v>
      </c>
      <c r="S760" s="8">
        <v>10.4027</v>
      </c>
    </row>
    <row r="761" spans="1:19" s="12" customFormat="1" ht="16.5" customHeight="1">
      <c r="A761" s="3"/>
      <c r="B761" s="13" t="s">
        <v>397</v>
      </c>
      <c r="C761" s="7">
        <v>23.7526</v>
      </c>
      <c r="D761" s="7"/>
      <c r="E761" s="7">
        <v>24.4721</v>
      </c>
      <c r="F761" s="7">
        <v>25.1046</v>
      </c>
      <c r="G761" s="7">
        <v>28.3574</v>
      </c>
      <c r="H761" s="14">
        <v>24.2528</v>
      </c>
      <c r="I761" s="7">
        <v>24.7618</v>
      </c>
      <c r="J761" s="7">
        <v>25.1194</v>
      </c>
      <c r="K761" s="7"/>
      <c r="L761" s="7"/>
      <c r="M761" s="7"/>
      <c r="N761" s="7">
        <v>24.1949</v>
      </c>
      <c r="O761" s="8">
        <v>18.686</v>
      </c>
      <c r="P761" s="7"/>
      <c r="Q761" s="7">
        <v>10.4027</v>
      </c>
      <c r="R761" s="7">
        <v>10.4027</v>
      </c>
      <c r="S761" s="8">
        <v>10.4027</v>
      </c>
    </row>
    <row r="762" spans="1:19" s="12" customFormat="1" ht="16.5" customHeight="1">
      <c r="A762" s="3"/>
      <c r="B762" s="13" t="s">
        <v>398</v>
      </c>
      <c r="C762" s="7">
        <v>24.0672</v>
      </c>
      <c r="D762" s="7"/>
      <c r="E762" s="7">
        <v>24.7578</v>
      </c>
      <c r="F762" s="7">
        <v>25.3603</v>
      </c>
      <c r="G762" s="7">
        <v>28.4046</v>
      </c>
      <c r="H762" s="14">
        <v>24.5348</v>
      </c>
      <c r="I762" s="7">
        <v>25.2397</v>
      </c>
      <c r="J762" s="7">
        <v>25.512</v>
      </c>
      <c r="K762" s="7"/>
      <c r="L762" s="7"/>
      <c r="M762" s="7"/>
      <c r="N762" s="7">
        <v>24.5809</v>
      </c>
      <c r="O762" s="8">
        <v>19.0704</v>
      </c>
      <c r="P762" s="7"/>
      <c r="Q762" s="7">
        <v>10.4027</v>
      </c>
      <c r="R762" s="7">
        <v>10.4027</v>
      </c>
      <c r="S762" s="8">
        <v>10.4027</v>
      </c>
    </row>
    <row r="763" spans="1:19" s="12" customFormat="1" ht="16.5" customHeight="1">
      <c r="A763" s="3"/>
      <c r="B763" s="13" t="s">
        <v>399</v>
      </c>
      <c r="C763" s="7">
        <v>24.9056</v>
      </c>
      <c r="D763" s="7"/>
      <c r="E763" s="7">
        <v>25.5145</v>
      </c>
      <c r="F763" s="7">
        <v>26.0342</v>
      </c>
      <c r="G763" s="7">
        <v>28.5303</v>
      </c>
      <c r="H763" s="14">
        <v>25.2886</v>
      </c>
      <c r="I763" s="7">
        <v>25.9066</v>
      </c>
      <c r="J763" s="7">
        <v>26.0868</v>
      </c>
      <c r="K763" s="7"/>
      <c r="L763" s="7"/>
      <c r="M763" s="7"/>
      <c r="N763" s="7">
        <v>25.1305</v>
      </c>
      <c r="O763" s="8">
        <v>19.4425</v>
      </c>
      <c r="P763" s="7"/>
      <c r="Q763" s="7">
        <v>10.4027</v>
      </c>
      <c r="R763" s="7">
        <v>10.4027</v>
      </c>
      <c r="S763" s="8">
        <v>10.4027</v>
      </c>
    </row>
    <row r="764" spans="1:19" s="12" customFormat="1" ht="16.5" customHeight="1">
      <c r="A764" s="3"/>
      <c r="B764" s="4" t="s">
        <v>13</v>
      </c>
      <c r="C764" s="56">
        <f>(C759*4+C760*7+C761*7+C762*7+C763*6)/31</f>
        <v>24.08101290322581</v>
      </c>
      <c r="D764" s="11"/>
      <c r="E764" s="11">
        <f aca="true" t="shared" si="107" ref="E764:S764">(E759*4+E760*7+E761*7+E762*7+E763*6)/31</f>
        <v>24.769303225806446</v>
      </c>
      <c r="F764" s="11">
        <f t="shared" si="107"/>
        <v>25.369861290322582</v>
      </c>
      <c r="G764" s="11">
        <f t="shared" si="107"/>
        <v>28.406648387096773</v>
      </c>
      <c r="H764" s="11">
        <f t="shared" si="107"/>
        <v>24.54813870967742</v>
      </c>
      <c r="I764" s="11">
        <f t="shared" si="107"/>
        <v>25.052674193548388</v>
      </c>
      <c r="J764" s="11">
        <f t="shared" si="107"/>
        <v>25.41211612903226</v>
      </c>
      <c r="K764" s="11"/>
      <c r="L764" s="11"/>
      <c r="M764" s="11"/>
      <c r="N764" s="11">
        <f t="shared" si="107"/>
        <v>24.47563225806452</v>
      </c>
      <c r="O764" s="38">
        <f t="shared" si="107"/>
        <v>18.898299999999995</v>
      </c>
      <c r="P764" s="11"/>
      <c r="Q764" s="11">
        <f t="shared" si="107"/>
        <v>10.4027</v>
      </c>
      <c r="R764" s="48">
        <f t="shared" si="107"/>
        <v>10.4027</v>
      </c>
      <c r="S764" s="38">
        <f t="shared" si="107"/>
        <v>10.4027</v>
      </c>
    </row>
    <row r="765" spans="1:19" s="12" customFormat="1" ht="16.5" customHeight="1">
      <c r="A765" s="3"/>
      <c r="B765" s="13" t="s">
        <v>27</v>
      </c>
      <c r="C765" s="7">
        <v>25.3924</v>
      </c>
      <c r="D765" s="7"/>
      <c r="E765" s="7">
        <v>25.7205</v>
      </c>
      <c r="F765" s="7">
        <v>25.9595</v>
      </c>
      <c r="G765" s="7">
        <v>26.6314</v>
      </c>
      <c r="H765" s="14">
        <v>25.4946</v>
      </c>
      <c r="I765" s="7">
        <v>26.26</v>
      </c>
      <c r="J765" s="7">
        <v>26.365</v>
      </c>
      <c r="K765" s="7"/>
      <c r="L765" s="7"/>
      <c r="M765" s="7"/>
      <c r="N765" s="7">
        <v>25.4239</v>
      </c>
      <c r="O765" s="8">
        <v>19.582</v>
      </c>
      <c r="P765" s="7">
        <v>10.5614</v>
      </c>
      <c r="Q765" s="7">
        <v>10.5614</v>
      </c>
      <c r="R765" s="7">
        <v>10.5614</v>
      </c>
      <c r="S765" s="8">
        <v>10.5614</v>
      </c>
    </row>
    <row r="766" spans="1:19" s="12" customFormat="1" ht="16.5" customHeight="1">
      <c r="A766" s="3"/>
      <c r="B766" s="13" t="s">
        <v>400</v>
      </c>
      <c r="C766" s="7">
        <v>25.491</v>
      </c>
      <c r="D766" s="7"/>
      <c r="E766" s="7">
        <v>25.8098</v>
      </c>
      <c r="F766" s="7">
        <v>26.0392</v>
      </c>
      <c r="G766" s="7">
        <v>26.6462</v>
      </c>
      <c r="H766" s="14">
        <v>25.5833</v>
      </c>
      <c r="I766" s="7">
        <v>26.0361</v>
      </c>
      <c r="J766" s="7">
        <v>26.3706</v>
      </c>
      <c r="K766" s="7"/>
      <c r="L766" s="7"/>
      <c r="M766" s="7"/>
      <c r="N766" s="7">
        <v>25.3632</v>
      </c>
      <c r="O766" s="8">
        <v>19.4812</v>
      </c>
      <c r="P766" s="7">
        <v>10.5614</v>
      </c>
      <c r="Q766" s="7">
        <v>10.5614</v>
      </c>
      <c r="R766" s="7">
        <v>10.5614</v>
      </c>
      <c r="S766" s="8">
        <v>10.5614</v>
      </c>
    </row>
    <row r="767" spans="1:19" s="12" customFormat="1" ht="16.5" customHeight="1">
      <c r="A767" s="3"/>
      <c r="B767" s="13" t="s">
        <v>401</v>
      </c>
      <c r="C767" s="7">
        <v>24.6001</v>
      </c>
      <c r="D767" s="7"/>
      <c r="E767" s="7">
        <v>25.0072</v>
      </c>
      <c r="F767" s="7">
        <v>25.3252</v>
      </c>
      <c r="G767" s="7">
        <v>26.5125</v>
      </c>
      <c r="H767" s="14">
        <v>24.7819</v>
      </c>
      <c r="I767" s="7">
        <v>25.64</v>
      </c>
      <c r="J767" s="7">
        <v>26.0347</v>
      </c>
      <c r="K767" s="7"/>
      <c r="L767" s="7"/>
      <c r="M767" s="7"/>
      <c r="N767" s="7">
        <v>25.0098</v>
      </c>
      <c r="O767" s="8">
        <v>19.2191</v>
      </c>
      <c r="P767" s="7">
        <v>10.5614</v>
      </c>
      <c r="Q767" s="7">
        <v>10.5614</v>
      </c>
      <c r="R767" s="7">
        <v>10.5614</v>
      </c>
      <c r="S767" s="8">
        <v>10.5614</v>
      </c>
    </row>
    <row r="768" spans="1:19" s="12" customFormat="1" ht="16.5" customHeight="1">
      <c r="A768" s="3"/>
      <c r="B768" s="13" t="s">
        <v>402</v>
      </c>
      <c r="C768" s="7">
        <v>23.8162</v>
      </c>
      <c r="D768" s="7"/>
      <c r="E768" s="7">
        <v>24.2984</v>
      </c>
      <c r="F768" s="7">
        <v>24.6932</v>
      </c>
      <c r="G768" s="7">
        <v>26.3949</v>
      </c>
      <c r="H768" s="14">
        <v>24.0773</v>
      </c>
      <c r="I768" s="7">
        <v>24.8334</v>
      </c>
      <c r="J768" s="7">
        <v>25.3251</v>
      </c>
      <c r="K768" s="7"/>
      <c r="L768" s="7"/>
      <c r="M768" s="7"/>
      <c r="N768" s="7">
        <v>24.2818</v>
      </c>
      <c r="O768" s="8">
        <v>18.9764</v>
      </c>
      <c r="P768" s="7">
        <v>10.5614</v>
      </c>
      <c r="Q768" s="7">
        <v>10.5614</v>
      </c>
      <c r="R768" s="7">
        <v>10.5614</v>
      </c>
      <c r="S768" s="8">
        <v>10.5614</v>
      </c>
    </row>
    <row r="769" spans="1:19" s="12" customFormat="1" ht="16.5" customHeight="1">
      <c r="A769" s="3"/>
      <c r="B769" s="13" t="s">
        <v>403</v>
      </c>
      <c r="C769" s="7">
        <v>23.7019</v>
      </c>
      <c r="D769" s="7"/>
      <c r="E769" s="7">
        <v>24.1942</v>
      </c>
      <c r="F769" s="7">
        <v>24.5998</v>
      </c>
      <c r="G769" s="7">
        <v>26.3778</v>
      </c>
      <c r="H769" s="14">
        <v>23.9747</v>
      </c>
      <c r="I769" s="7">
        <v>24.3089</v>
      </c>
      <c r="J769" s="7">
        <v>24.8461</v>
      </c>
      <c r="K769" s="7"/>
      <c r="L769" s="7"/>
      <c r="M769" s="7"/>
      <c r="N769" s="7">
        <v>23.7992</v>
      </c>
      <c r="O769" s="8">
        <v>18.9371</v>
      </c>
      <c r="P769" s="7">
        <v>10.5614</v>
      </c>
      <c r="Q769" s="7">
        <v>10.5614</v>
      </c>
      <c r="R769" s="7">
        <v>10.5614</v>
      </c>
      <c r="S769" s="8">
        <v>10.5614</v>
      </c>
    </row>
    <row r="770" spans="1:19" s="12" customFormat="1" ht="16.5" customHeight="1">
      <c r="A770" s="3"/>
      <c r="B770" s="13" t="s">
        <v>404</v>
      </c>
      <c r="C770" s="7">
        <v>23.7046</v>
      </c>
      <c r="D770" s="7"/>
      <c r="E770" s="7">
        <v>24.1967</v>
      </c>
      <c r="F770" s="7">
        <v>24.602</v>
      </c>
      <c r="G770" s="7">
        <v>26.3782</v>
      </c>
      <c r="H770" s="14">
        <v>23.9771</v>
      </c>
      <c r="I770" s="7">
        <v>24.3142</v>
      </c>
      <c r="J770" s="7">
        <v>24.9114</v>
      </c>
      <c r="K770" s="7"/>
      <c r="L770" s="7"/>
      <c r="M770" s="7"/>
      <c r="N770" s="7">
        <v>23.8879</v>
      </c>
      <c r="O770" s="8">
        <v>19.0056</v>
      </c>
      <c r="P770" s="7">
        <v>10.5614</v>
      </c>
      <c r="Q770" s="7">
        <v>10.5614</v>
      </c>
      <c r="R770" s="7">
        <v>10.5614</v>
      </c>
      <c r="S770" s="8">
        <v>10.5614</v>
      </c>
    </row>
    <row r="771" spans="1:19" s="12" customFormat="1" ht="16.5" customHeight="1">
      <c r="A771" s="3"/>
      <c r="B771" s="4" t="s">
        <v>13</v>
      </c>
      <c r="C771" s="56">
        <f>(C765*1+C766*7+C767*7+C768*7+C769*7+C770*1)/30</f>
        <v>24.412046666666665</v>
      </c>
      <c r="D771" s="11"/>
      <c r="E771" s="11">
        <f aca="true" t="shared" si="108" ref="E771:S771">(E765*1+E766*7+E767*7+E768*7+E769*7+E770*1)/30</f>
        <v>24.836146666666664</v>
      </c>
      <c r="F771" s="11">
        <f t="shared" si="108"/>
        <v>25.17211</v>
      </c>
      <c r="G771" s="11">
        <f t="shared" si="108"/>
        <v>26.48431333333333</v>
      </c>
      <c r="H771" s="11">
        <f t="shared" si="108"/>
        <v>24.613069999999997</v>
      </c>
      <c r="I771" s="11">
        <f t="shared" si="108"/>
        <v>25.210100000000004</v>
      </c>
      <c r="J771" s="11">
        <f t="shared" si="108"/>
        <v>25.643729999999998</v>
      </c>
      <c r="K771" s="11"/>
      <c r="L771" s="11"/>
      <c r="M771" s="11"/>
      <c r="N771" s="11">
        <f t="shared" si="108"/>
        <v>24.616326666666662</v>
      </c>
      <c r="O771" s="38">
        <f t="shared" si="108"/>
        <v>19.162806666666665</v>
      </c>
      <c r="P771" s="11">
        <f>(P765*1+P766*7+P767*7+P768*7+P769*7+P770*1)/30</f>
        <v>10.561399999999999</v>
      </c>
      <c r="Q771" s="11">
        <f t="shared" si="108"/>
        <v>10.561399999999999</v>
      </c>
      <c r="R771" s="48">
        <f t="shared" si="108"/>
        <v>10.561399999999999</v>
      </c>
      <c r="S771" s="38">
        <f t="shared" si="108"/>
        <v>10.561399999999999</v>
      </c>
    </row>
    <row r="772" spans="1:19" s="12" customFormat="1" ht="16.5" customHeight="1">
      <c r="A772" s="3"/>
      <c r="B772" s="13" t="s">
        <v>253</v>
      </c>
      <c r="C772" s="7">
        <v>23.3148</v>
      </c>
      <c r="D772" s="7"/>
      <c r="E772" s="7">
        <v>23.856</v>
      </c>
      <c r="F772" s="7">
        <v>24.3103</v>
      </c>
      <c r="G772" s="7">
        <v>26.4047</v>
      </c>
      <c r="H772" s="14">
        <v>23.6364</v>
      </c>
      <c r="I772" s="7">
        <v>24.3074</v>
      </c>
      <c r="J772" s="7">
        <v>25.0341</v>
      </c>
      <c r="K772" s="7"/>
      <c r="L772" s="7"/>
      <c r="M772" s="7"/>
      <c r="N772" s="7">
        <v>24.0164</v>
      </c>
      <c r="O772" s="8">
        <v>19.0955</v>
      </c>
      <c r="P772" s="7">
        <v>10.5978</v>
      </c>
      <c r="Q772" s="7">
        <v>10.5978</v>
      </c>
      <c r="R772" s="7">
        <v>10.5978</v>
      </c>
      <c r="S772" s="8">
        <v>10.5978</v>
      </c>
    </row>
    <row r="773" spans="1:19" s="12" customFormat="1" ht="16.5" customHeight="1">
      <c r="A773" s="3"/>
      <c r="B773" s="13" t="s">
        <v>405</v>
      </c>
      <c r="C773" s="7">
        <v>23.5605</v>
      </c>
      <c r="D773" s="7"/>
      <c r="E773" s="7">
        <v>24.0779</v>
      </c>
      <c r="F773" s="7">
        <v>24.508</v>
      </c>
      <c r="G773" s="7">
        <v>26.4416</v>
      </c>
      <c r="H773" s="14">
        <v>23.8581</v>
      </c>
      <c r="I773" s="7">
        <v>24.7201</v>
      </c>
      <c r="J773" s="7">
        <v>25.4997</v>
      </c>
      <c r="K773" s="7"/>
      <c r="L773" s="7"/>
      <c r="M773" s="7"/>
      <c r="N773" s="7">
        <v>24.5135</v>
      </c>
      <c r="O773" s="8">
        <v>19.0697</v>
      </c>
      <c r="P773" s="7">
        <v>10.5978</v>
      </c>
      <c r="Q773" s="7">
        <v>10.5978</v>
      </c>
      <c r="R773" s="7">
        <v>10.5978</v>
      </c>
      <c r="S773" s="8">
        <v>10.5978</v>
      </c>
    </row>
    <row r="774" spans="1:19" s="12" customFormat="1" ht="16.5" customHeight="1">
      <c r="A774" s="3"/>
      <c r="B774" s="13" t="s">
        <v>406</v>
      </c>
      <c r="C774" s="7">
        <v>23.6264</v>
      </c>
      <c r="D774" s="7"/>
      <c r="E774" s="7">
        <v>24.1362</v>
      </c>
      <c r="F774" s="7">
        <v>24.5593</v>
      </c>
      <c r="G774" s="7">
        <v>26.4515</v>
      </c>
      <c r="H774" s="14">
        <v>23.9185</v>
      </c>
      <c r="I774" s="7">
        <v>24.8096</v>
      </c>
      <c r="J774" s="7">
        <v>25.5593</v>
      </c>
      <c r="K774" s="7"/>
      <c r="L774" s="7"/>
      <c r="M774" s="7"/>
      <c r="N774" s="7">
        <v>24.5676</v>
      </c>
      <c r="O774" s="8">
        <v>19.0655</v>
      </c>
      <c r="P774" s="7">
        <v>10.5978</v>
      </c>
      <c r="Q774" s="7">
        <v>10.5978</v>
      </c>
      <c r="R774" s="7">
        <v>10.5978</v>
      </c>
      <c r="S774" s="8">
        <v>10.5978</v>
      </c>
    </row>
    <row r="775" spans="1:19" s="12" customFormat="1" ht="16.5" customHeight="1">
      <c r="A775" s="3"/>
      <c r="B775" s="13" t="s">
        <v>407</v>
      </c>
      <c r="C775" s="7">
        <v>23.251</v>
      </c>
      <c r="D775" s="7"/>
      <c r="E775" s="7">
        <v>23.7979</v>
      </c>
      <c r="F775" s="7">
        <v>24.2582</v>
      </c>
      <c r="G775" s="7">
        <v>26.3952</v>
      </c>
      <c r="H775" s="14">
        <v>23.5809</v>
      </c>
      <c r="I775" s="7">
        <v>24.4919</v>
      </c>
      <c r="J775" s="7">
        <v>25.0886</v>
      </c>
      <c r="K775" s="7"/>
      <c r="L775" s="7"/>
      <c r="M775" s="7"/>
      <c r="N775" s="7">
        <v>24.0468</v>
      </c>
      <c r="O775" s="8">
        <v>18.9413</v>
      </c>
      <c r="P775" s="7">
        <v>10.5978</v>
      </c>
      <c r="Q775" s="7">
        <v>10.5978</v>
      </c>
      <c r="R775" s="7">
        <v>10.5978</v>
      </c>
      <c r="S775" s="8">
        <v>10.5978</v>
      </c>
    </row>
    <row r="776" spans="1:19" s="12" customFormat="1" ht="16.5" customHeight="1">
      <c r="A776" s="3"/>
      <c r="B776" s="13" t="s">
        <v>408</v>
      </c>
      <c r="C776" s="7">
        <v>23.0806</v>
      </c>
      <c r="D776" s="7"/>
      <c r="E776" s="7">
        <v>23.6443</v>
      </c>
      <c r="F776" s="7">
        <v>24.1216</v>
      </c>
      <c r="G776" s="7">
        <v>26.3696</v>
      </c>
      <c r="H776" s="14">
        <v>23.4276</v>
      </c>
      <c r="I776" s="7">
        <v>24.2947</v>
      </c>
      <c r="J776" s="7">
        <v>25.0014</v>
      </c>
      <c r="K776" s="7"/>
      <c r="L776" s="7"/>
      <c r="M776" s="7"/>
      <c r="N776" s="7">
        <v>23.9244</v>
      </c>
      <c r="O776" s="8">
        <v>18.9732</v>
      </c>
      <c r="P776" s="7">
        <v>10.5978</v>
      </c>
      <c r="Q776" s="7">
        <v>10.5978</v>
      </c>
      <c r="R776" s="7">
        <v>10.5978</v>
      </c>
      <c r="S776" s="8">
        <v>10.5978</v>
      </c>
    </row>
    <row r="777" spans="1:19" s="12" customFormat="1" ht="16.5" customHeight="1">
      <c r="A777" s="3"/>
      <c r="B777" s="4" t="s">
        <v>13</v>
      </c>
      <c r="C777" s="56">
        <f>(C772*6+C773*7+C774*7+C775*7+C776*4)/31</f>
        <v>23.396016129032265</v>
      </c>
      <c r="D777" s="11"/>
      <c r="E777" s="11">
        <f aca="true" t="shared" si="109" ref="E777:S777">(E772*6+E773*7+E774*7+E775*7+E776*4)/31</f>
        <v>23.92894193548387</v>
      </c>
      <c r="F777" s="11">
        <f t="shared" si="109"/>
        <v>24.37505483870968</v>
      </c>
      <c r="G777" s="11">
        <f t="shared" si="109"/>
        <v>26.41692580645161</v>
      </c>
      <c r="H777" s="11">
        <f t="shared" si="109"/>
        <v>23.710687096774198</v>
      </c>
      <c r="I777" s="11">
        <f t="shared" si="109"/>
        <v>24.554012903225807</v>
      </c>
      <c r="J777" s="11">
        <f t="shared" si="109"/>
        <v>25.265916129032256</v>
      </c>
      <c r="K777" s="11"/>
      <c r="L777" s="11"/>
      <c r="M777" s="11"/>
      <c r="N777" s="11">
        <f t="shared" si="109"/>
        <v>24.2481064516129</v>
      </c>
      <c r="O777" s="38">
        <f t="shared" si="109"/>
        <v>19.0323</v>
      </c>
      <c r="P777" s="11">
        <f>(P772*6+P773*7+P774*7+P775*7+P776*4)/31</f>
        <v>10.5978</v>
      </c>
      <c r="Q777" s="11">
        <f t="shared" si="109"/>
        <v>10.5978</v>
      </c>
      <c r="R777" s="48">
        <f t="shared" si="109"/>
        <v>10.5978</v>
      </c>
      <c r="S777" s="38">
        <f t="shared" si="109"/>
        <v>10.5978</v>
      </c>
    </row>
    <row r="778" spans="1:19" s="12" customFormat="1" ht="16.5" customHeight="1">
      <c r="A778" s="3"/>
      <c r="B778" s="13" t="s">
        <v>89</v>
      </c>
      <c r="C778" s="7">
        <v>23.2979</v>
      </c>
      <c r="D778" s="7"/>
      <c r="E778" s="7">
        <v>23.8791</v>
      </c>
      <c r="F778" s="7">
        <v>24.3738</v>
      </c>
      <c r="G778" s="7">
        <v>26.7337</v>
      </c>
      <c r="H778" s="14">
        <v>23.6621</v>
      </c>
      <c r="I778" s="7">
        <v>24.6331</v>
      </c>
      <c r="J778" s="7">
        <v>25.2994</v>
      </c>
      <c r="K778" s="7"/>
      <c r="L778" s="7"/>
      <c r="M778" s="7"/>
      <c r="N778" s="7">
        <v>24.2373</v>
      </c>
      <c r="O778" s="8">
        <v>19.1648</v>
      </c>
      <c r="P778" s="7">
        <v>10.433</v>
      </c>
      <c r="Q778" s="7">
        <v>10.433</v>
      </c>
      <c r="R778" s="7">
        <v>10.433</v>
      </c>
      <c r="S778" s="8">
        <v>10.433</v>
      </c>
    </row>
    <row r="779" spans="1:19" s="12" customFormat="1" ht="16.5" customHeight="1">
      <c r="A779" s="3"/>
      <c r="B779" s="13" t="s">
        <v>411</v>
      </c>
      <c r="C779" s="7">
        <v>23.0249</v>
      </c>
      <c r="D779" s="7"/>
      <c r="E779" s="7">
        <v>23.6343</v>
      </c>
      <c r="F779" s="7">
        <v>24.1567</v>
      </c>
      <c r="G779" s="7">
        <v>26.6927</v>
      </c>
      <c r="H779" s="14">
        <v>23.4163</v>
      </c>
      <c r="I779" s="7">
        <v>24.2805</v>
      </c>
      <c r="J779" s="7">
        <v>25.0856</v>
      </c>
      <c r="K779" s="7"/>
      <c r="L779" s="7"/>
      <c r="M779" s="7"/>
      <c r="N779" s="7">
        <v>23.9682</v>
      </c>
      <c r="O779" s="8">
        <v>18.7854</v>
      </c>
      <c r="P779" s="7">
        <v>10.433</v>
      </c>
      <c r="Q779" s="7">
        <v>10.433</v>
      </c>
      <c r="R779" s="7">
        <v>10.433</v>
      </c>
      <c r="S779" s="8">
        <v>10.433</v>
      </c>
    </row>
    <row r="780" spans="1:19" s="12" customFormat="1" ht="16.5" customHeight="1">
      <c r="A780" s="3"/>
      <c r="B780" s="13" t="s">
        <v>412</v>
      </c>
      <c r="C780" s="7">
        <v>23.5546</v>
      </c>
      <c r="D780" s="7"/>
      <c r="E780" s="7">
        <v>24.1124</v>
      </c>
      <c r="F780" s="7">
        <v>24.5825</v>
      </c>
      <c r="G780" s="7">
        <v>26.7722</v>
      </c>
      <c r="H780" s="14">
        <v>23.8914</v>
      </c>
      <c r="I780" s="7">
        <v>24.3502</v>
      </c>
      <c r="J780" s="7">
        <v>25.0533</v>
      </c>
      <c r="K780" s="7"/>
      <c r="L780" s="7"/>
      <c r="M780" s="7"/>
      <c r="N780" s="7">
        <v>23.8969</v>
      </c>
      <c r="O780" s="8">
        <v>18.652</v>
      </c>
      <c r="P780" s="7">
        <v>10.433</v>
      </c>
      <c r="Q780" s="7">
        <v>10.433</v>
      </c>
      <c r="R780" s="7">
        <v>10.433</v>
      </c>
      <c r="S780" s="8">
        <v>10.433</v>
      </c>
    </row>
    <row r="781" spans="1:19" s="12" customFormat="1" ht="16.5" customHeight="1">
      <c r="A781" s="3"/>
      <c r="B781" s="13" t="s">
        <v>413</v>
      </c>
      <c r="C781" s="7">
        <v>24.0313</v>
      </c>
      <c r="D781" s="7"/>
      <c r="E781" s="7">
        <v>24.5423</v>
      </c>
      <c r="F781" s="7">
        <v>24.9652</v>
      </c>
      <c r="G781" s="7">
        <v>26.8437</v>
      </c>
      <c r="H781" s="14">
        <v>24.3195</v>
      </c>
      <c r="I781" s="7">
        <v>24.7662</v>
      </c>
      <c r="J781" s="7">
        <v>25.4952</v>
      </c>
      <c r="K781" s="7"/>
      <c r="L781" s="7"/>
      <c r="M781" s="7"/>
      <c r="N781" s="7">
        <v>24.3572</v>
      </c>
      <c r="O781" s="8">
        <v>18.9805</v>
      </c>
      <c r="P781" s="7">
        <v>10.433</v>
      </c>
      <c r="Q781" s="7">
        <v>10.433</v>
      </c>
      <c r="R781" s="7">
        <v>10.433</v>
      </c>
      <c r="S781" s="8">
        <v>10.433</v>
      </c>
    </row>
    <row r="782" spans="1:19" s="12" customFormat="1" ht="16.5" customHeight="1">
      <c r="A782" s="3"/>
      <c r="B782" s="13" t="s">
        <v>414</v>
      </c>
      <c r="C782" s="7">
        <v>24.5305</v>
      </c>
      <c r="D782" s="7"/>
      <c r="E782" s="7">
        <v>24.9935</v>
      </c>
      <c r="F782" s="7">
        <v>25.3676</v>
      </c>
      <c r="G782" s="7">
        <v>26.9186</v>
      </c>
      <c r="H782" s="14">
        <v>24.7683</v>
      </c>
      <c r="I782" s="7">
        <v>25.6924</v>
      </c>
      <c r="J782" s="7">
        <v>26.5885</v>
      </c>
      <c r="K782" s="7"/>
      <c r="L782" s="7"/>
      <c r="M782" s="7"/>
      <c r="N782" s="7">
        <v>25.4262</v>
      </c>
      <c r="O782" s="8">
        <v>19.3019</v>
      </c>
      <c r="P782" s="7">
        <v>10.433</v>
      </c>
      <c r="Q782" s="7">
        <v>10.433</v>
      </c>
      <c r="R782" s="7">
        <v>10.433</v>
      </c>
      <c r="S782" s="8">
        <v>10.433</v>
      </c>
    </row>
    <row r="783" spans="1:19" s="12" customFormat="1" ht="16.5" customHeight="1">
      <c r="A783" s="3"/>
      <c r="B783" s="4" t="s">
        <v>13</v>
      </c>
      <c r="C783" s="56">
        <f>(C778*3+C779*7+C780*7+C781*7+C782*6)/30</f>
        <v>23.711743333333335</v>
      </c>
      <c r="D783" s="11"/>
      <c r="E783" s="11">
        <f aca="true" t="shared" si="110" ref="E783:S783">(E778*3+E779*7+E780*7+E781*7+E782*6)/30</f>
        <v>24.254043333333335</v>
      </c>
      <c r="F783" s="11">
        <f t="shared" si="110"/>
        <v>24.708593333333333</v>
      </c>
      <c r="G783" s="11">
        <f t="shared" si="110"/>
        <v>26.795763333333333</v>
      </c>
      <c r="H783" s="11">
        <f t="shared" si="110"/>
        <v>24.032883333333334</v>
      </c>
      <c r="I783" s="11">
        <f t="shared" si="110"/>
        <v>24.727733333333333</v>
      </c>
      <c r="J783" s="11">
        <f t="shared" si="110"/>
        <v>25.495596666666664</v>
      </c>
      <c r="K783" s="11"/>
      <c r="L783" s="11"/>
      <c r="M783" s="11"/>
      <c r="N783" s="11">
        <f t="shared" si="110"/>
        <v>24.36084</v>
      </c>
      <c r="O783" s="38">
        <f t="shared" si="110"/>
        <v>18.941036666666665</v>
      </c>
      <c r="P783" s="11">
        <f t="shared" si="110"/>
        <v>10.433</v>
      </c>
      <c r="Q783" s="11">
        <f t="shared" si="110"/>
        <v>10.433</v>
      </c>
      <c r="R783" s="48">
        <f t="shared" si="110"/>
        <v>10.433</v>
      </c>
      <c r="S783" s="38">
        <f t="shared" si="110"/>
        <v>10.433</v>
      </c>
    </row>
    <row r="784" spans="1:19" s="12" customFormat="1" ht="16.5" customHeight="1">
      <c r="A784" s="3"/>
      <c r="B784" s="13" t="s">
        <v>40</v>
      </c>
      <c r="C784" s="7">
        <v>24.5655</v>
      </c>
      <c r="D784" s="7"/>
      <c r="E784" s="7">
        <v>25.0075</v>
      </c>
      <c r="F784" s="7">
        <v>25.3602</v>
      </c>
      <c r="G784" s="7">
        <v>26.7708</v>
      </c>
      <c r="H784" s="14">
        <v>24.7816</v>
      </c>
      <c r="I784" s="7">
        <v>25.9826</v>
      </c>
      <c r="J784" s="7">
        <v>26.8553</v>
      </c>
      <c r="K784" s="7"/>
      <c r="L784" s="7"/>
      <c r="M784" s="7"/>
      <c r="N784" s="7">
        <v>25.7053</v>
      </c>
      <c r="O784" s="8">
        <v>19.396</v>
      </c>
      <c r="P784" s="7">
        <v>10.5715</v>
      </c>
      <c r="Q784" s="7">
        <v>10.5715</v>
      </c>
      <c r="R784" s="7">
        <v>10.5715</v>
      </c>
      <c r="S784" s="8">
        <v>10.5715</v>
      </c>
    </row>
    <row r="785" spans="1:19" s="12" customFormat="1" ht="16.5" customHeight="1">
      <c r="A785" s="3"/>
      <c r="B785" s="13" t="s">
        <v>415</v>
      </c>
      <c r="C785" s="7">
        <v>24.6789</v>
      </c>
      <c r="D785" s="7"/>
      <c r="E785" s="7">
        <v>25.11</v>
      </c>
      <c r="F785" s="7">
        <v>25.4516</v>
      </c>
      <c r="G785" s="7">
        <v>26.7878</v>
      </c>
      <c r="H785" s="14">
        <v>24.8836</v>
      </c>
      <c r="I785" s="7">
        <v>26.2216</v>
      </c>
      <c r="J785" s="7">
        <v>27.1279</v>
      </c>
      <c r="K785" s="7"/>
      <c r="L785" s="7"/>
      <c r="M785" s="7"/>
      <c r="N785" s="7">
        <v>25.8232</v>
      </c>
      <c r="O785" s="8">
        <v>19.4041</v>
      </c>
      <c r="P785" s="7">
        <v>10.5715</v>
      </c>
      <c r="Q785" s="7">
        <v>10.5715</v>
      </c>
      <c r="R785" s="7">
        <v>10.5715</v>
      </c>
      <c r="S785" s="8">
        <v>10.5715</v>
      </c>
    </row>
    <row r="786" spans="1:19" s="12" customFormat="1" ht="16.5" customHeight="1">
      <c r="A786" s="3"/>
      <c r="B786" s="13" t="s">
        <v>416</v>
      </c>
      <c r="C786" s="7">
        <v>24.7585</v>
      </c>
      <c r="D786" s="7"/>
      <c r="E786" s="7">
        <v>25.1813</v>
      </c>
      <c r="F786" s="7">
        <v>25.5148</v>
      </c>
      <c r="G786" s="7">
        <v>26.7998</v>
      </c>
      <c r="H786" s="14">
        <v>24.9552</v>
      </c>
      <c r="I786" s="7">
        <v>26.0228</v>
      </c>
      <c r="J786" s="7">
        <v>26.7022</v>
      </c>
      <c r="K786" s="7"/>
      <c r="L786" s="7"/>
      <c r="M786" s="7"/>
      <c r="N786" s="7">
        <v>25.3146</v>
      </c>
      <c r="O786" s="8">
        <v>19.4061</v>
      </c>
      <c r="P786" s="7">
        <v>10.5715</v>
      </c>
      <c r="Q786" s="7">
        <v>10.5715</v>
      </c>
      <c r="R786" s="7">
        <v>10.5715</v>
      </c>
      <c r="S786" s="8">
        <v>10.5715</v>
      </c>
    </row>
    <row r="787" spans="1:19" s="12" customFormat="1" ht="16.5" customHeight="1">
      <c r="A787" s="3"/>
      <c r="B787" s="13" t="s">
        <v>417</v>
      </c>
      <c r="C787" s="7">
        <v>24.7526</v>
      </c>
      <c r="D787" s="7"/>
      <c r="E787" s="7">
        <v>25.1766</v>
      </c>
      <c r="F787" s="7">
        <v>25.511</v>
      </c>
      <c r="G787" s="7">
        <v>26.7989</v>
      </c>
      <c r="H787" s="14">
        <v>24.9509</v>
      </c>
      <c r="I787" s="7">
        <v>25.8273</v>
      </c>
      <c r="J787" s="7">
        <v>26.6553</v>
      </c>
      <c r="K787" s="7"/>
      <c r="L787" s="7"/>
      <c r="M787" s="7"/>
      <c r="N787" s="7">
        <v>25.2464</v>
      </c>
      <c r="O787" s="8">
        <v>19.512</v>
      </c>
      <c r="P787" s="7">
        <v>10.5715</v>
      </c>
      <c r="Q787" s="7">
        <v>10.5715</v>
      </c>
      <c r="R787" s="7">
        <v>10.5715</v>
      </c>
      <c r="S787" s="8">
        <v>10.5715</v>
      </c>
    </row>
    <row r="788" spans="1:19" s="12" customFormat="1" ht="16.5" customHeight="1">
      <c r="A788" s="3"/>
      <c r="B788" s="13" t="s">
        <v>418</v>
      </c>
      <c r="C788" s="7">
        <v>25.8154</v>
      </c>
      <c r="D788" s="7"/>
      <c r="E788" s="7">
        <v>26.1359</v>
      </c>
      <c r="F788" s="7">
        <v>26.3655</v>
      </c>
      <c r="G788" s="7">
        <v>26.9583</v>
      </c>
      <c r="H788" s="14">
        <v>25.9073</v>
      </c>
      <c r="I788" s="7">
        <v>26.538</v>
      </c>
      <c r="J788" s="7">
        <v>27.2579</v>
      </c>
      <c r="K788" s="7"/>
      <c r="L788" s="7"/>
      <c r="M788" s="7"/>
      <c r="N788" s="7">
        <v>25.9592</v>
      </c>
      <c r="O788" s="8">
        <v>20.101</v>
      </c>
      <c r="P788" s="7">
        <v>10.5715</v>
      </c>
      <c r="Q788" s="7">
        <v>10.5715</v>
      </c>
      <c r="R788" s="7">
        <v>10.5715</v>
      </c>
      <c r="S788" s="8">
        <v>10.5715</v>
      </c>
    </row>
    <row r="789" spans="1:19" s="12" customFormat="1" ht="16.5" customHeight="1">
      <c r="A789" s="3"/>
      <c r="B789" s="13" t="s">
        <v>419</v>
      </c>
      <c r="C789" s="7">
        <v>26.1376</v>
      </c>
      <c r="D789" s="7"/>
      <c r="E789" s="7">
        <v>26.4264</v>
      </c>
      <c r="F789" s="7">
        <v>26.6239</v>
      </c>
      <c r="G789" s="7">
        <v>27.0066</v>
      </c>
      <c r="H789" s="14">
        <v>26.1971</v>
      </c>
      <c r="I789" s="7">
        <v>26.6923</v>
      </c>
      <c r="J789" s="7">
        <v>27.4064</v>
      </c>
      <c r="K789" s="7"/>
      <c r="L789" s="7"/>
      <c r="M789" s="7"/>
      <c r="N789" s="7">
        <v>26.0888</v>
      </c>
      <c r="O789" s="8">
        <v>20.237</v>
      </c>
      <c r="P789" s="7">
        <v>10.5715</v>
      </c>
      <c r="Q789" s="7">
        <v>10.5715</v>
      </c>
      <c r="R789" s="7">
        <v>10.5715</v>
      </c>
      <c r="S789" s="8">
        <v>10.5715</v>
      </c>
    </row>
    <row r="790" spans="1:19" s="12" customFormat="1" ht="16.5" customHeight="1">
      <c r="A790" s="3"/>
      <c r="B790" s="4" t="s">
        <v>13</v>
      </c>
      <c r="C790" s="56">
        <f>(C784*1+C785*7+C786*7+C787*7+C788*7+C789*2)/31</f>
        <v>25.06059677419355</v>
      </c>
      <c r="D790" s="11"/>
      <c r="E790" s="11">
        <f aca="true" t="shared" si="111" ref="E790:S790">(E784*1+E785*7+E786*7+E787*7+E788*7+E789*2)/31</f>
        <v>25.454416129032253</v>
      </c>
      <c r="F790" s="11">
        <f t="shared" si="111"/>
        <v>25.758332258064517</v>
      </c>
      <c r="G790" s="11">
        <f t="shared" si="111"/>
        <v>26.845083870967745</v>
      </c>
      <c r="H790" s="11">
        <f t="shared" si="111"/>
        <v>25.22757419354839</v>
      </c>
      <c r="I790" s="11">
        <f t="shared" si="111"/>
        <v>26.181777419354837</v>
      </c>
      <c r="J790" s="11">
        <f>(J784*1+J785*7+J786*7+J787*7+J788*7+J789*2)/31</f>
        <v>26.963587096774194</v>
      </c>
      <c r="K790" s="11"/>
      <c r="L790" s="11"/>
      <c r="M790" s="11"/>
      <c r="N790" s="11">
        <f t="shared" si="111"/>
        <v>25.622151612903227</v>
      </c>
      <c r="O790" s="38">
        <f t="shared" si="111"/>
        <v>19.639754838709678</v>
      </c>
      <c r="P790" s="11">
        <f t="shared" si="111"/>
        <v>10.5715</v>
      </c>
      <c r="Q790" s="11">
        <f t="shared" si="111"/>
        <v>10.5715</v>
      </c>
      <c r="R790" s="48">
        <f>(R784*1+R785*7+R786*7+R787*7+R788*7+R789*2)/31</f>
        <v>10.5715</v>
      </c>
      <c r="S790" s="38">
        <f t="shared" si="111"/>
        <v>10.5715</v>
      </c>
    </row>
    <row r="791" spans="1:19" s="12" customFormat="1" ht="16.5" customHeight="1">
      <c r="A791" s="20"/>
      <c r="B791" s="19">
        <v>2014</v>
      </c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39"/>
      <c r="P791" s="14"/>
      <c r="S791" s="15"/>
    </row>
    <row r="792" spans="1:19" s="12" customFormat="1" ht="16.5" customHeight="1">
      <c r="A792" s="3"/>
      <c r="B792" s="13" t="s">
        <v>212</v>
      </c>
      <c r="C792" s="7">
        <v>26.0777</v>
      </c>
      <c r="D792" s="7"/>
      <c r="E792" s="7">
        <v>26.4279</v>
      </c>
      <c r="F792" s="7">
        <v>26.6866</v>
      </c>
      <c r="G792" s="7">
        <v>27.4651</v>
      </c>
      <c r="H792" s="14">
        <v>26.1981</v>
      </c>
      <c r="I792" s="7">
        <v>26.5011</v>
      </c>
      <c r="J792" s="7">
        <v>27.3379</v>
      </c>
      <c r="K792" s="7"/>
      <c r="L792" s="7"/>
      <c r="M792" s="7"/>
      <c r="N792" s="7">
        <v>25.8225</v>
      </c>
      <c r="O792" s="8">
        <v>20.1727</v>
      </c>
      <c r="P792" s="7">
        <v>10.808</v>
      </c>
      <c r="Q792" s="7">
        <v>10.808</v>
      </c>
      <c r="R792" s="7">
        <v>10.808</v>
      </c>
      <c r="S792" s="8">
        <v>10.808</v>
      </c>
    </row>
    <row r="793" spans="1:19" s="12" customFormat="1" ht="16.5" customHeight="1">
      <c r="A793" s="3"/>
      <c r="B793" s="13" t="s">
        <v>420</v>
      </c>
      <c r="C793" s="7">
        <v>25.546</v>
      </c>
      <c r="D793" s="7"/>
      <c r="E793" s="7">
        <v>25.9503</v>
      </c>
      <c r="F793" s="7">
        <v>26.2627</v>
      </c>
      <c r="G793" s="7">
        <v>27.3854</v>
      </c>
      <c r="H793" s="14">
        <v>25.7196</v>
      </c>
      <c r="I793" s="7">
        <v>25.8376</v>
      </c>
      <c r="J793" s="7">
        <v>26.8232</v>
      </c>
      <c r="K793" s="7"/>
      <c r="L793" s="7"/>
      <c r="M793" s="7"/>
      <c r="N793" s="7">
        <v>25.2208</v>
      </c>
      <c r="O793" s="8">
        <v>19.8878</v>
      </c>
      <c r="P793" s="7">
        <v>10.808</v>
      </c>
      <c r="Q793" s="7">
        <v>10.808</v>
      </c>
      <c r="R793" s="7">
        <v>10.808</v>
      </c>
      <c r="S793" s="8">
        <v>10.808</v>
      </c>
    </row>
    <row r="794" spans="1:19" s="12" customFormat="1" ht="16.5" customHeight="1">
      <c r="A794" s="3"/>
      <c r="B794" s="13" t="s">
        <v>421</v>
      </c>
      <c r="C794" s="7">
        <v>25.1861</v>
      </c>
      <c r="D794" s="7"/>
      <c r="E794" s="7">
        <v>25.6256</v>
      </c>
      <c r="F794" s="7">
        <v>25.9735</v>
      </c>
      <c r="G794" s="7">
        <v>27.3314</v>
      </c>
      <c r="H794" s="14">
        <v>25.396</v>
      </c>
      <c r="I794" s="7">
        <v>25.3415</v>
      </c>
      <c r="J794" s="7">
        <v>26.5586</v>
      </c>
      <c r="K794" s="7"/>
      <c r="L794" s="7"/>
      <c r="M794" s="7"/>
      <c r="N794" s="7">
        <v>24.8571</v>
      </c>
      <c r="O794" s="8">
        <v>19.8945</v>
      </c>
      <c r="P794" s="7">
        <v>10.808</v>
      </c>
      <c r="Q794" s="7">
        <v>10.808</v>
      </c>
      <c r="R794" s="7">
        <v>10.808</v>
      </c>
      <c r="S794" s="8">
        <v>10.808</v>
      </c>
    </row>
    <row r="795" spans="1:19" s="12" customFormat="1" ht="16.5" customHeight="1">
      <c r="A795" s="3"/>
      <c r="B795" s="13" t="s">
        <v>422</v>
      </c>
      <c r="C795" s="7">
        <v>25.247</v>
      </c>
      <c r="D795" s="7"/>
      <c r="E795" s="7">
        <v>25.6802</v>
      </c>
      <c r="F795" s="7">
        <v>26.022</v>
      </c>
      <c r="G795" s="7">
        <v>27.3405</v>
      </c>
      <c r="H795" s="14">
        <v>25.4508</v>
      </c>
      <c r="I795" s="7">
        <v>25.4134</v>
      </c>
      <c r="J795" s="7">
        <v>26.6075</v>
      </c>
      <c r="K795" s="7"/>
      <c r="L795" s="7"/>
      <c r="M795" s="7"/>
      <c r="N795" s="7">
        <v>24.97</v>
      </c>
      <c r="O795" s="8">
        <v>19.988</v>
      </c>
      <c r="P795" s="7">
        <v>10.808</v>
      </c>
      <c r="Q795" s="7">
        <v>10.808</v>
      </c>
      <c r="R795" s="7">
        <v>10.808</v>
      </c>
      <c r="S795" s="8">
        <v>10.808</v>
      </c>
    </row>
    <row r="796" spans="1:19" s="12" customFormat="1" ht="16.5" customHeight="1">
      <c r="A796" s="3"/>
      <c r="B796" s="13" t="s">
        <v>423</v>
      </c>
      <c r="C796" s="7">
        <v>25.3815</v>
      </c>
      <c r="D796" s="7"/>
      <c r="E796" s="7">
        <v>25.8014</v>
      </c>
      <c r="F796" s="7">
        <v>26.1299</v>
      </c>
      <c r="G796" s="7">
        <v>27.3607</v>
      </c>
      <c r="H796" s="14">
        <v>25.5718</v>
      </c>
      <c r="I796" s="7">
        <v>25.599</v>
      </c>
      <c r="J796" s="7">
        <v>26.7672</v>
      </c>
      <c r="K796" s="7"/>
      <c r="L796" s="7"/>
      <c r="M796" s="7"/>
      <c r="N796" s="7">
        <v>25.1431</v>
      </c>
      <c r="O796" s="8">
        <v>20.0453</v>
      </c>
      <c r="P796" s="7">
        <v>10.808</v>
      </c>
      <c r="Q796" s="7">
        <v>10.808</v>
      </c>
      <c r="R796" s="7">
        <v>10.808</v>
      </c>
      <c r="S796" s="8">
        <v>10.808</v>
      </c>
    </row>
    <row r="797" spans="1:19" s="12" customFormat="1" ht="16.5" customHeight="1">
      <c r="A797" s="3"/>
      <c r="B797" s="4" t="s">
        <v>13</v>
      </c>
      <c r="C797" s="56">
        <f>(C792*5+C793*7+C794*7+C795*7+C796*5)/31</f>
        <v>25.45644193548387</v>
      </c>
      <c r="D797" s="11"/>
      <c r="E797" s="11">
        <f>(E792*5+E793*7+E794*7+E795*7+E796*5)/31</f>
        <v>25.869006451612904</v>
      </c>
      <c r="F797" s="11">
        <f aca="true" t="shared" si="112" ref="F797:S797">(F792*5+F793*7+F794*7+F795*7+F796*5)/31</f>
        <v>26.189996774193546</v>
      </c>
      <c r="G797" s="11">
        <f t="shared" si="112"/>
        <v>27.371938709677423</v>
      </c>
      <c r="H797" s="11">
        <f t="shared" si="112"/>
        <v>25.639170967741936</v>
      </c>
      <c r="I797" s="11">
        <f t="shared" si="112"/>
        <v>25.69832258064516</v>
      </c>
      <c r="J797" s="11">
        <f t="shared" si="112"/>
        <v>26.788729032258065</v>
      </c>
      <c r="K797" s="11"/>
      <c r="L797" s="11"/>
      <c r="M797" s="11"/>
      <c r="N797" s="11">
        <f t="shared" si="112"/>
        <v>25.166558064516128</v>
      </c>
      <c r="O797" s="38">
        <f t="shared" si="112"/>
        <v>19.983293548387095</v>
      </c>
      <c r="P797" s="11">
        <f t="shared" si="112"/>
        <v>10.808000000000002</v>
      </c>
      <c r="Q797" s="11">
        <f t="shared" si="112"/>
        <v>10.808000000000002</v>
      </c>
      <c r="R797" s="48">
        <f t="shared" si="112"/>
        <v>10.808000000000002</v>
      </c>
      <c r="S797" s="38">
        <f t="shared" si="112"/>
        <v>10.808000000000002</v>
      </c>
    </row>
    <row r="798" spans="1:19" s="12" customFormat="1" ht="16.5" customHeight="1">
      <c r="A798" s="3"/>
      <c r="B798" s="13" t="s">
        <v>221</v>
      </c>
      <c r="C798" s="7">
        <v>25.436</v>
      </c>
      <c r="D798" s="7"/>
      <c r="E798" s="7">
        <v>25.7609</v>
      </c>
      <c r="F798" s="7">
        <v>25.9942</v>
      </c>
      <c r="G798" s="7">
        <v>26.6039</v>
      </c>
      <c r="H798" s="14">
        <v>25.5307</v>
      </c>
      <c r="I798" s="7">
        <v>25.7534</v>
      </c>
      <c r="J798" s="7">
        <v>26.8553</v>
      </c>
      <c r="K798" s="7"/>
      <c r="L798" s="7"/>
      <c r="M798" s="7"/>
      <c r="N798" s="7">
        <v>25.2357</v>
      </c>
      <c r="O798" s="8">
        <v>20.2283</v>
      </c>
      <c r="P798" s="7">
        <v>11.007</v>
      </c>
      <c r="Q798" s="7">
        <v>11.007</v>
      </c>
      <c r="R798" s="7">
        <v>11.007</v>
      </c>
      <c r="S798" s="8">
        <v>11.007</v>
      </c>
    </row>
    <row r="799" spans="1:19" s="12" customFormat="1" ht="16.5" customHeight="1">
      <c r="A799" s="3"/>
      <c r="B799" s="13" t="s">
        <v>424</v>
      </c>
      <c r="C799" s="7">
        <v>24.978</v>
      </c>
      <c r="D799" s="7"/>
      <c r="E799" s="7">
        <v>25.348</v>
      </c>
      <c r="F799" s="7">
        <v>25.6266</v>
      </c>
      <c r="G799" s="7">
        <v>26.5352</v>
      </c>
      <c r="H799" s="14">
        <v>25.1189</v>
      </c>
      <c r="I799" s="7">
        <v>25.4502</v>
      </c>
      <c r="J799" s="7">
        <v>26.7522</v>
      </c>
      <c r="K799" s="7"/>
      <c r="L799" s="7"/>
      <c r="M799" s="7"/>
      <c r="N799" s="7">
        <v>25.0177</v>
      </c>
      <c r="O799" s="8">
        <v>19.8114</v>
      </c>
      <c r="P799" s="7">
        <v>11.007</v>
      </c>
      <c r="Q799" s="7">
        <v>11.007</v>
      </c>
      <c r="R799" s="7">
        <v>11.007</v>
      </c>
      <c r="S799" s="8">
        <v>11.007</v>
      </c>
    </row>
    <row r="800" spans="1:19" s="12" customFormat="1" ht="16.5" customHeight="1">
      <c r="A800" s="3"/>
      <c r="B800" s="13" t="s">
        <v>425</v>
      </c>
      <c r="C800" s="7">
        <v>25.507</v>
      </c>
      <c r="D800" s="7"/>
      <c r="E800" s="7">
        <v>25.8231</v>
      </c>
      <c r="F800" s="7">
        <v>26.0484</v>
      </c>
      <c r="G800" s="7">
        <v>26.6146</v>
      </c>
      <c r="H800" s="14">
        <v>25.595</v>
      </c>
      <c r="I800" s="7">
        <v>25.6077</v>
      </c>
      <c r="J800" s="7">
        <v>26.9624</v>
      </c>
      <c r="K800" s="7"/>
      <c r="L800" s="7"/>
      <c r="M800" s="7"/>
      <c r="N800" s="7">
        <v>25.2343</v>
      </c>
      <c r="O800" s="8">
        <v>19.7438</v>
      </c>
      <c r="P800" s="7">
        <v>11.007</v>
      </c>
      <c r="Q800" s="7">
        <v>11.007</v>
      </c>
      <c r="R800" s="7">
        <v>11.007</v>
      </c>
      <c r="S800" s="8">
        <v>11.007</v>
      </c>
    </row>
    <row r="801" spans="1:19" s="12" customFormat="1" ht="16.5" customHeight="1">
      <c r="A801" s="3"/>
      <c r="B801" s="13" t="s">
        <v>426</v>
      </c>
      <c r="C801" s="7">
        <v>25.6775</v>
      </c>
      <c r="D801" s="7"/>
      <c r="E801" s="7">
        <v>25.9756</v>
      </c>
      <c r="F801" s="7">
        <v>26.1834</v>
      </c>
      <c r="G801" s="7">
        <v>26.6401</v>
      </c>
      <c r="H801" s="14">
        <v>25.7484</v>
      </c>
      <c r="I801" s="7">
        <v>25.7275</v>
      </c>
      <c r="J801" s="7">
        <v>26.6877</v>
      </c>
      <c r="K801" s="7"/>
      <c r="L801" s="7"/>
      <c r="M801" s="7"/>
      <c r="N801" s="7">
        <v>25.4195</v>
      </c>
      <c r="O801" s="8">
        <v>19.8301</v>
      </c>
      <c r="P801" s="7">
        <v>11.007</v>
      </c>
      <c r="Q801" s="7">
        <v>11.007</v>
      </c>
      <c r="R801" s="7">
        <v>11.007</v>
      </c>
      <c r="S801" s="8">
        <v>11.007</v>
      </c>
    </row>
    <row r="802" spans="1:19" s="12" customFormat="1" ht="16.5" customHeight="1">
      <c r="A802" s="3"/>
      <c r="B802" s="13" t="s">
        <v>427</v>
      </c>
      <c r="C802" s="7">
        <v>25.7815</v>
      </c>
      <c r="D802" s="7"/>
      <c r="E802" s="7">
        <v>26.0694</v>
      </c>
      <c r="F802" s="7">
        <v>26.2669</v>
      </c>
      <c r="G802" s="7">
        <v>26.6557</v>
      </c>
      <c r="H802" s="14">
        <v>25.842</v>
      </c>
      <c r="I802" s="7">
        <v>25.7721</v>
      </c>
      <c r="J802" s="7">
        <v>26.718</v>
      </c>
      <c r="K802" s="7"/>
      <c r="L802" s="7"/>
      <c r="M802" s="7"/>
      <c r="N802" s="7">
        <v>25.4279</v>
      </c>
      <c r="O802" s="8">
        <v>19.8116</v>
      </c>
      <c r="P802" s="7">
        <v>11.007</v>
      </c>
      <c r="Q802" s="7">
        <v>11.007</v>
      </c>
      <c r="R802" s="7">
        <v>11.007</v>
      </c>
      <c r="S802" s="8">
        <v>11.007</v>
      </c>
    </row>
    <row r="803" spans="1:19" s="12" customFormat="1" ht="16.5" customHeight="1">
      <c r="A803" s="3"/>
      <c r="B803" s="4" t="s">
        <v>13</v>
      </c>
      <c r="C803" s="56">
        <f>(C798*2+C799*7+C800*7+C801*7+C802*5)/28</f>
        <v>25.46132142857143</v>
      </c>
      <c r="D803" s="11"/>
      <c r="E803" s="11">
        <f aca="true" t="shared" si="113" ref="E803:S803">(E798*2+E799*7+E800*7+E801*7+E802*5)/28</f>
        <v>25.781989285714282</v>
      </c>
      <c r="F803" s="11">
        <f t="shared" si="113"/>
        <v>26.011846428571427</v>
      </c>
      <c r="G803" s="11">
        <f t="shared" si="113"/>
        <v>26.6077</v>
      </c>
      <c r="H803" s="11">
        <f t="shared" si="113"/>
        <v>25.553839285714282</v>
      </c>
      <c r="I803" s="11">
        <f t="shared" si="113"/>
        <v>25.638039285714285</v>
      </c>
      <c r="J803" s="11">
        <f t="shared" si="113"/>
        <v>26.789882142857145</v>
      </c>
      <c r="K803" s="11"/>
      <c r="L803" s="11"/>
      <c r="M803" s="11"/>
      <c r="N803" s="11">
        <f t="shared" si="113"/>
        <v>25.261121428571432</v>
      </c>
      <c r="O803" s="38">
        <f t="shared" si="113"/>
        <v>19.82898928571429</v>
      </c>
      <c r="P803" s="11">
        <f t="shared" si="113"/>
        <v>11.006999999999996</v>
      </c>
      <c r="Q803" s="11">
        <f t="shared" si="113"/>
        <v>11.006999999999996</v>
      </c>
      <c r="R803" s="48">
        <f t="shared" si="113"/>
        <v>11.006999999999996</v>
      </c>
      <c r="S803" s="38">
        <f t="shared" si="113"/>
        <v>11.006999999999996</v>
      </c>
    </row>
    <row r="804" spans="1:19" s="12" customFormat="1" ht="16.5" customHeight="1">
      <c r="A804" s="3"/>
      <c r="B804" s="13" t="s">
        <v>54</v>
      </c>
      <c r="C804" s="7">
        <v>25.7229</v>
      </c>
      <c r="D804" s="7"/>
      <c r="E804" s="7">
        <v>26.058</v>
      </c>
      <c r="F804" s="7">
        <v>26.3024</v>
      </c>
      <c r="G804" s="7">
        <v>26.9954</v>
      </c>
      <c r="H804" s="14">
        <v>25.8302</v>
      </c>
      <c r="I804" s="7">
        <v>25.4967</v>
      </c>
      <c r="J804" s="7">
        <v>26.5248</v>
      </c>
      <c r="K804" s="7"/>
      <c r="L804" s="7"/>
      <c r="M804" s="7"/>
      <c r="N804" s="7">
        <v>25.2266</v>
      </c>
      <c r="O804" s="8">
        <v>19.6191</v>
      </c>
      <c r="P804" s="7">
        <v>10.911</v>
      </c>
      <c r="Q804" s="7">
        <v>10.911</v>
      </c>
      <c r="R804" s="7">
        <v>10.911</v>
      </c>
      <c r="S804" s="8">
        <v>10.911</v>
      </c>
    </row>
    <row r="805" spans="1:19" s="12" customFormat="1" ht="16.5" customHeight="1">
      <c r="A805" s="3"/>
      <c r="B805" s="13" t="s">
        <v>277</v>
      </c>
      <c r="C805" s="7">
        <v>25.643</v>
      </c>
      <c r="D805" s="7"/>
      <c r="E805" s="7">
        <v>25.985</v>
      </c>
      <c r="F805" s="7">
        <v>26.237</v>
      </c>
      <c r="G805" s="7">
        <v>26.9834</v>
      </c>
      <c r="H805" s="14">
        <v>25.7585</v>
      </c>
      <c r="I805" s="7">
        <v>25.229</v>
      </c>
      <c r="J805" s="7">
        <v>26.3642</v>
      </c>
      <c r="K805" s="7"/>
      <c r="L805" s="7"/>
      <c r="M805" s="7"/>
      <c r="N805" s="7">
        <v>25.03</v>
      </c>
      <c r="O805" s="8">
        <v>19.4174</v>
      </c>
      <c r="P805" s="7">
        <v>10.911</v>
      </c>
      <c r="Q805" s="7">
        <v>10.911</v>
      </c>
      <c r="R805" s="7">
        <v>10.911</v>
      </c>
      <c r="S805" s="8">
        <v>10.911</v>
      </c>
    </row>
    <row r="806" spans="1:19" s="12" customFormat="1" ht="16.5" customHeight="1">
      <c r="A806" s="3"/>
      <c r="B806" s="13" t="s">
        <v>278</v>
      </c>
      <c r="C806" s="7">
        <v>25.4273</v>
      </c>
      <c r="D806" s="7"/>
      <c r="E806" s="7">
        <v>25.7905</v>
      </c>
      <c r="F806" s="7">
        <v>26.0638</v>
      </c>
      <c r="G806" s="7">
        <v>26.9511</v>
      </c>
      <c r="H806" s="14">
        <v>25.5645</v>
      </c>
      <c r="I806" s="7">
        <v>24.8013</v>
      </c>
      <c r="J806" s="7">
        <v>25.8761</v>
      </c>
      <c r="K806" s="7"/>
      <c r="L806" s="7"/>
      <c r="M806" s="7"/>
      <c r="N806" s="7">
        <v>24.5811</v>
      </c>
      <c r="O806" s="8">
        <v>19.2758</v>
      </c>
      <c r="P806" s="7">
        <v>10.911</v>
      </c>
      <c r="Q806" s="7">
        <v>10.911</v>
      </c>
      <c r="R806" s="7">
        <v>10.911</v>
      </c>
      <c r="S806" s="8">
        <v>10.911</v>
      </c>
    </row>
    <row r="807" spans="1:19" s="12" customFormat="1" ht="16.5" customHeight="1">
      <c r="A807" s="3"/>
      <c r="B807" s="13" t="s">
        <v>281</v>
      </c>
      <c r="C807" s="7">
        <v>24.8574</v>
      </c>
      <c r="D807" s="7"/>
      <c r="E807" s="7">
        <v>25.2772</v>
      </c>
      <c r="F807" s="7">
        <v>25.6072</v>
      </c>
      <c r="G807" s="7">
        <v>26.8656</v>
      </c>
      <c r="H807" s="14">
        <v>25.0519</v>
      </c>
      <c r="I807" s="7">
        <v>24.4878</v>
      </c>
      <c r="J807" s="7">
        <v>25.6472</v>
      </c>
      <c r="K807" s="7"/>
      <c r="L807" s="7"/>
      <c r="M807" s="7"/>
      <c r="N807" s="7">
        <v>25.03</v>
      </c>
      <c r="O807" s="8">
        <v>19.2971</v>
      </c>
      <c r="P807" s="7">
        <v>10.911</v>
      </c>
      <c r="Q807" s="7">
        <v>10.911</v>
      </c>
      <c r="R807" s="7">
        <v>10.911</v>
      </c>
      <c r="S807" s="8">
        <v>10.911</v>
      </c>
    </row>
    <row r="808" spans="1:19" s="12" customFormat="1" ht="16.5" customHeight="1">
      <c r="A808" s="3"/>
      <c r="B808" s="13" t="s">
        <v>280</v>
      </c>
      <c r="C808" s="7">
        <v>25.0387</v>
      </c>
      <c r="D808" s="7"/>
      <c r="E808" s="7">
        <v>25.4417</v>
      </c>
      <c r="F808" s="7">
        <v>25.7543</v>
      </c>
      <c r="G808" s="7">
        <v>26.8928</v>
      </c>
      <c r="H808" s="14">
        <v>25.2147</v>
      </c>
      <c r="I808" s="7">
        <v>24.8494</v>
      </c>
      <c r="J808" s="7">
        <v>25.9565</v>
      </c>
      <c r="K808" s="7"/>
      <c r="L808" s="7"/>
      <c r="M808" s="7"/>
      <c r="N808" s="7">
        <v>24.7548</v>
      </c>
      <c r="O808" s="8">
        <v>19.4344</v>
      </c>
      <c r="P808" s="7">
        <v>10.911</v>
      </c>
      <c r="Q808" s="7">
        <v>10.911</v>
      </c>
      <c r="R808" s="7">
        <v>10.911</v>
      </c>
      <c r="S808" s="8">
        <v>10.911</v>
      </c>
    </row>
    <row r="809" spans="1:19" s="12" customFormat="1" ht="16.5" customHeight="1">
      <c r="A809" s="3"/>
      <c r="B809" s="13" t="s">
        <v>279</v>
      </c>
      <c r="C809" s="7">
        <v>25.2219</v>
      </c>
      <c r="D809" s="7"/>
      <c r="E809" s="7">
        <v>25.6066</v>
      </c>
      <c r="F809" s="7">
        <v>25.9009</v>
      </c>
      <c r="G809" s="7">
        <v>26.9203</v>
      </c>
      <c r="H809" s="14">
        <v>25.3797</v>
      </c>
      <c r="I809" s="7">
        <v>24.9597</v>
      </c>
      <c r="J809" s="7">
        <v>26.0009</v>
      </c>
      <c r="K809" s="7"/>
      <c r="L809" s="7"/>
      <c r="M809" s="7"/>
      <c r="N809" s="7">
        <v>24.859</v>
      </c>
      <c r="O809" s="8">
        <v>19.4725</v>
      </c>
      <c r="P809" s="7">
        <v>10.911</v>
      </c>
      <c r="Q809" s="7">
        <v>10.911</v>
      </c>
      <c r="R809" s="7">
        <v>10.911</v>
      </c>
      <c r="S809" s="8">
        <v>10.911</v>
      </c>
    </row>
    <row r="810" spans="1:19" s="12" customFormat="1" ht="16.5" customHeight="1">
      <c r="A810" s="3"/>
      <c r="B810" s="4" t="s">
        <v>13</v>
      </c>
      <c r="C810" s="56">
        <f>(C804*2+C805*7+C806*7+C807*7+C808*7+C809*1)/31</f>
        <v>25.27201612903226</v>
      </c>
      <c r="D810" s="11"/>
      <c r="E810" s="11">
        <f aca="true" t="shared" si="114" ref="E810:S810">(E804*2+E805*7+E806*7+E807*7+E808*7+E809*1)/31</f>
        <v>25.651077419354834</v>
      </c>
      <c r="F810" s="11">
        <f t="shared" si="114"/>
        <v>25.94005806451613</v>
      </c>
      <c r="G810" s="11">
        <f t="shared" si="114"/>
        <v>26.927787096774193</v>
      </c>
      <c r="H810" s="11">
        <f t="shared" si="114"/>
        <v>25.42475161290323</v>
      </c>
      <c r="I810" s="11">
        <f t="shared" si="114"/>
        <v>24.887922580645164</v>
      </c>
      <c r="J810" s="11">
        <f t="shared" si="114"/>
        <v>25.99866129032258</v>
      </c>
      <c r="K810" s="11"/>
      <c r="L810" s="11"/>
      <c r="M810" s="11"/>
      <c r="N810" s="11">
        <f t="shared" si="114"/>
        <v>24.873661290322584</v>
      </c>
      <c r="O810" s="38">
        <f t="shared" si="114"/>
        <v>19.376890322580643</v>
      </c>
      <c r="P810" s="11">
        <f t="shared" si="114"/>
        <v>10.911</v>
      </c>
      <c r="Q810" s="11">
        <f>(Q804*2+Q805*7+Q806*7+Q807*7+Q808*7+Q809*1)/31</f>
        <v>10.911</v>
      </c>
      <c r="R810" s="48">
        <f t="shared" si="114"/>
        <v>10.911</v>
      </c>
      <c r="S810" s="38">
        <f t="shared" si="114"/>
        <v>10.911</v>
      </c>
    </row>
    <row r="811" spans="1:19" s="12" customFormat="1" ht="16.5" customHeight="1">
      <c r="A811" s="3"/>
      <c r="B811" s="13" t="s">
        <v>226</v>
      </c>
      <c r="C811" s="7">
        <v>25.0297</v>
      </c>
      <c r="D811" s="7"/>
      <c r="E811" s="7">
        <v>25.5772</v>
      </c>
      <c r="F811" s="7">
        <v>26.0345</v>
      </c>
      <c r="G811" s="7">
        <v>28.1155</v>
      </c>
      <c r="H811" s="14">
        <v>25.3507</v>
      </c>
      <c r="I811" s="7">
        <v>24.6995</v>
      </c>
      <c r="J811" s="7">
        <v>25.7378</v>
      </c>
      <c r="K811" s="7"/>
      <c r="L811" s="7"/>
      <c r="M811" s="7"/>
      <c r="N811" s="7">
        <v>24.5882</v>
      </c>
      <c r="O811" s="8">
        <v>19.1368</v>
      </c>
      <c r="P811" s="7">
        <v>10.8254</v>
      </c>
      <c r="Q811" s="7">
        <v>10.8254</v>
      </c>
      <c r="R811" s="7">
        <v>10.8254</v>
      </c>
      <c r="S811" s="8">
        <v>10.8254</v>
      </c>
    </row>
    <row r="812" spans="1:19" s="12" customFormat="1" ht="16.5" customHeight="1">
      <c r="A812" s="3"/>
      <c r="B812" s="13" t="s">
        <v>282</v>
      </c>
      <c r="C812" s="7">
        <v>25.4107</v>
      </c>
      <c r="D812" s="7"/>
      <c r="E812" s="7">
        <v>25.9195</v>
      </c>
      <c r="F812" s="7">
        <v>26.3384</v>
      </c>
      <c r="G812" s="7">
        <v>28.1726</v>
      </c>
      <c r="H812" s="14">
        <v>25.6936</v>
      </c>
      <c r="I812" s="7">
        <v>24.6501</v>
      </c>
      <c r="J812" s="7">
        <v>25.775</v>
      </c>
      <c r="K812" s="7"/>
      <c r="L812" s="7"/>
      <c r="M812" s="7"/>
      <c r="N812" s="7">
        <v>24.6637</v>
      </c>
      <c r="O812" s="8">
        <v>19.0038</v>
      </c>
      <c r="P812" s="7">
        <v>10.8254</v>
      </c>
      <c r="Q812" s="7">
        <v>10.8254</v>
      </c>
      <c r="R812" s="7">
        <v>10.8254</v>
      </c>
      <c r="S812" s="8">
        <v>10.8254</v>
      </c>
    </row>
    <row r="813" spans="1:19" s="12" customFormat="1" ht="16.5" customHeight="1">
      <c r="A813" s="3"/>
      <c r="B813" s="13" t="s">
        <v>283</v>
      </c>
      <c r="C813" s="7">
        <v>25.8042</v>
      </c>
      <c r="D813" s="7"/>
      <c r="E813" s="7">
        <v>26.2733</v>
      </c>
      <c r="F813" s="7">
        <v>26.6526</v>
      </c>
      <c r="G813" s="7">
        <v>28.2316</v>
      </c>
      <c r="H813" s="14">
        <v>26.0477</v>
      </c>
      <c r="I813" s="7">
        <v>25.0338</v>
      </c>
      <c r="J813" s="7">
        <v>26.0871</v>
      </c>
      <c r="K813" s="7"/>
      <c r="L813" s="7"/>
      <c r="M813" s="7"/>
      <c r="N813" s="7">
        <v>25.013</v>
      </c>
      <c r="O813" s="8">
        <v>19.0914</v>
      </c>
      <c r="P813" s="7">
        <v>10.8254</v>
      </c>
      <c r="Q813" s="7">
        <v>10.8254</v>
      </c>
      <c r="R813" s="7">
        <v>10.8254</v>
      </c>
      <c r="S813" s="8">
        <v>10.8254</v>
      </c>
    </row>
    <row r="814" spans="1:19" s="12" customFormat="1" ht="16.5" customHeight="1">
      <c r="A814" s="3"/>
      <c r="B814" s="13" t="s">
        <v>284</v>
      </c>
      <c r="C814" s="7">
        <v>25.9581</v>
      </c>
      <c r="D814" s="7"/>
      <c r="E814" s="7">
        <v>26.4119</v>
      </c>
      <c r="F814" s="7">
        <v>26.776</v>
      </c>
      <c r="G814" s="7">
        <v>28.2547</v>
      </c>
      <c r="H814" s="14">
        <v>26.1861</v>
      </c>
      <c r="I814" s="7">
        <v>25.2018</v>
      </c>
      <c r="J814" s="7">
        <v>26.2587</v>
      </c>
      <c r="K814" s="7"/>
      <c r="L814" s="7"/>
      <c r="M814" s="7"/>
      <c r="N814" s="7">
        <v>25.1926</v>
      </c>
      <c r="O814" s="8">
        <v>19.1574</v>
      </c>
      <c r="P814" s="7">
        <v>10.8254</v>
      </c>
      <c r="Q814" s="7">
        <v>10.8254</v>
      </c>
      <c r="R814" s="7">
        <v>10.8254</v>
      </c>
      <c r="S814" s="8">
        <v>10.8254</v>
      </c>
    </row>
    <row r="815" spans="1:19" s="12" customFormat="1" ht="16.5" customHeight="1">
      <c r="A815" s="3"/>
      <c r="B815" s="13" t="s">
        <v>285</v>
      </c>
      <c r="C815" s="7">
        <v>25.8079</v>
      </c>
      <c r="D815" s="7"/>
      <c r="E815" s="7">
        <v>26.2767</v>
      </c>
      <c r="F815" s="7">
        <v>26.6558</v>
      </c>
      <c r="G815" s="7">
        <v>28.2322</v>
      </c>
      <c r="H815" s="14">
        <v>26.051</v>
      </c>
      <c r="I815" s="7">
        <v>25.1385</v>
      </c>
      <c r="J815" s="7">
        <v>26.1555</v>
      </c>
      <c r="K815" s="7"/>
      <c r="L815" s="7"/>
      <c r="M815" s="7"/>
      <c r="N815" s="7">
        <v>25.1009</v>
      </c>
      <c r="O815" s="8">
        <v>19.1573</v>
      </c>
      <c r="P815" s="7">
        <v>10.8254</v>
      </c>
      <c r="Q815" s="7">
        <v>10.8254</v>
      </c>
      <c r="R815" s="7">
        <v>10.8254</v>
      </c>
      <c r="S815" s="8">
        <v>10.8254</v>
      </c>
    </row>
    <row r="816" spans="1:19" s="12" customFormat="1" ht="16.5" customHeight="1">
      <c r="A816" s="3"/>
      <c r="B816" s="4" t="s">
        <v>13</v>
      </c>
      <c r="C816" s="56">
        <f>(C811*6+C812*7+C813*7+C814*7+C815*3)/30</f>
        <v>25.59376333333334</v>
      </c>
      <c r="D816" s="11"/>
      <c r="E816" s="11">
        <f aca="true" t="shared" si="115" ref="E816:S816">(E811*6+E812*7+E813*7+E814*7+E815*3)/30</f>
        <v>26.084206666666663</v>
      </c>
      <c r="F816" s="11">
        <f t="shared" si="115"/>
        <v>26.48478</v>
      </c>
      <c r="G816" s="11">
        <f t="shared" si="115"/>
        <v>28.200063333333333</v>
      </c>
      <c r="H816" s="11">
        <f t="shared" si="115"/>
        <v>25.858299999999996</v>
      </c>
      <c r="I816" s="11">
        <f t="shared" si="115"/>
        <v>24.92708</v>
      </c>
      <c r="J816" s="11">
        <f t="shared" si="115"/>
        <v>25.991296666666667</v>
      </c>
      <c r="K816" s="11"/>
      <c r="L816" s="11"/>
      <c r="M816" s="11"/>
      <c r="N816" s="11">
        <f t="shared" si="115"/>
        <v>24.89723333333333</v>
      </c>
      <c r="O816" s="38">
        <f t="shared" si="115"/>
        <v>19.102030000000003</v>
      </c>
      <c r="P816" s="11">
        <f t="shared" si="115"/>
        <v>10.8254</v>
      </c>
      <c r="Q816" s="11">
        <f>(Q811*6+Q812*7+Q813*7+Q814*7+Q815*3)/30</f>
        <v>10.8254</v>
      </c>
      <c r="R816" s="48">
        <f t="shared" si="115"/>
        <v>10.8254</v>
      </c>
      <c r="S816" s="38">
        <f t="shared" si="115"/>
        <v>10.8254</v>
      </c>
    </row>
    <row r="817" spans="1:19" s="12" customFormat="1" ht="16.5" customHeight="1">
      <c r="A817" s="3"/>
      <c r="B817" s="13" t="s">
        <v>230</v>
      </c>
      <c r="C817" s="7">
        <v>25.3765</v>
      </c>
      <c r="D817" s="7"/>
      <c r="E817" s="7">
        <v>25.8056</v>
      </c>
      <c r="F817" s="7">
        <v>26.1449</v>
      </c>
      <c r="G817" s="7">
        <v>27.462</v>
      </c>
      <c r="H817" s="14">
        <v>25.5798</v>
      </c>
      <c r="I817" s="7">
        <v>24.8746</v>
      </c>
      <c r="J817" s="7">
        <v>25.9255</v>
      </c>
      <c r="K817" s="7"/>
      <c r="L817" s="7"/>
      <c r="M817" s="7"/>
      <c r="N817" s="7">
        <v>24.8616</v>
      </c>
      <c r="O817" s="8">
        <v>19.0085</v>
      </c>
      <c r="P817" s="7">
        <v>10.8</v>
      </c>
      <c r="Q817" s="7">
        <v>10.8</v>
      </c>
      <c r="R817" s="7">
        <v>10.8</v>
      </c>
      <c r="S817" s="8">
        <v>10.8</v>
      </c>
    </row>
    <row r="818" spans="1:19" s="12" customFormat="1" ht="16.5" customHeight="1">
      <c r="A818" s="3"/>
      <c r="B818" s="13" t="s">
        <v>9</v>
      </c>
      <c r="C818" s="7">
        <v>25.1029</v>
      </c>
      <c r="D818" s="7"/>
      <c r="E818" s="7">
        <v>25.56</v>
      </c>
      <c r="F818" s="7">
        <v>25.9269</v>
      </c>
      <c r="G818" s="7">
        <v>27.5011</v>
      </c>
      <c r="H818" s="14">
        <v>25.3336</v>
      </c>
      <c r="I818" s="7">
        <v>24.8328</v>
      </c>
      <c r="J818" s="7">
        <v>25.8877</v>
      </c>
      <c r="K818" s="7"/>
      <c r="L818" s="7"/>
      <c r="M818" s="7"/>
      <c r="N818" s="7">
        <v>24.8157</v>
      </c>
      <c r="O818" s="8">
        <v>19.0956</v>
      </c>
      <c r="P818" s="7">
        <v>10.8</v>
      </c>
      <c r="Q818" s="7">
        <v>10.8</v>
      </c>
      <c r="R818" s="7">
        <v>10.8</v>
      </c>
      <c r="S818" s="8">
        <v>10.8</v>
      </c>
    </row>
    <row r="819" spans="1:19" s="12" customFormat="1" ht="16.5" customHeight="1">
      <c r="A819" s="3"/>
      <c r="B819" s="13" t="s">
        <v>10</v>
      </c>
      <c r="C819" s="7">
        <v>25.6928</v>
      </c>
      <c r="D819" s="7"/>
      <c r="E819" s="7">
        <v>26.0914</v>
      </c>
      <c r="F819" s="7">
        <v>26.3996</v>
      </c>
      <c r="G819" s="7">
        <v>27.5094</v>
      </c>
      <c r="H819" s="14">
        <v>25.8642</v>
      </c>
      <c r="I819" s="7">
        <v>24.9717</v>
      </c>
      <c r="J819" s="7">
        <v>26.1132</v>
      </c>
      <c r="K819" s="7"/>
      <c r="L819" s="7"/>
      <c r="M819" s="7"/>
      <c r="N819" s="7">
        <v>24.9198</v>
      </c>
      <c r="O819" s="8">
        <v>19.3362</v>
      </c>
      <c r="P819" s="7">
        <v>10.8</v>
      </c>
      <c r="Q819" s="7">
        <v>10.8</v>
      </c>
      <c r="R819" s="7">
        <v>10.8</v>
      </c>
      <c r="S819" s="8">
        <v>10.8</v>
      </c>
    </row>
    <row r="820" spans="1:19" s="12" customFormat="1" ht="16.5" customHeight="1">
      <c r="A820" s="3"/>
      <c r="B820" s="13" t="s">
        <v>11</v>
      </c>
      <c r="C820" s="7">
        <v>25.9683</v>
      </c>
      <c r="D820" s="7"/>
      <c r="E820" s="7">
        <v>26.3391</v>
      </c>
      <c r="F820" s="7">
        <v>26.6197</v>
      </c>
      <c r="G820" s="7">
        <v>27.5507</v>
      </c>
      <c r="H820" s="14">
        <v>26.11</v>
      </c>
      <c r="I820" s="7">
        <v>24.9821</v>
      </c>
      <c r="J820" s="7">
        <v>26.2444</v>
      </c>
      <c r="K820" s="7"/>
      <c r="L820" s="7"/>
      <c r="M820" s="7"/>
      <c r="N820" s="7">
        <v>24.9839</v>
      </c>
      <c r="O820" s="8">
        <v>19.6221</v>
      </c>
      <c r="P820" s="7">
        <v>10.8</v>
      </c>
      <c r="Q820" s="7">
        <v>10.8</v>
      </c>
      <c r="R820" s="7">
        <v>10.8</v>
      </c>
      <c r="S820" s="8">
        <v>10.8</v>
      </c>
    </row>
    <row r="821" spans="1:19" s="12" customFormat="1" ht="16.5" customHeight="1">
      <c r="A821" s="3"/>
      <c r="B821" s="13" t="s">
        <v>12</v>
      </c>
      <c r="C821" s="7">
        <v>26.2827</v>
      </c>
      <c r="D821" s="7"/>
      <c r="E821" s="7">
        <v>26.6229</v>
      </c>
      <c r="F821" s="7">
        <v>26.8724</v>
      </c>
      <c r="G821" s="7">
        <v>27.5979</v>
      </c>
      <c r="H821" s="14">
        <v>26.3912</v>
      </c>
      <c r="I821" s="7">
        <v>24.9488</v>
      </c>
      <c r="J821" s="7">
        <v>26.278</v>
      </c>
      <c r="K821" s="7"/>
      <c r="L821" s="7"/>
      <c r="M821" s="7"/>
      <c r="N821" s="7">
        <v>25.006</v>
      </c>
      <c r="O821" s="8">
        <v>19.829</v>
      </c>
      <c r="P821" s="7">
        <v>10.8</v>
      </c>
      <c r="Q821" s="7">
        <v>10.8</v>
      </c>
      <c r="R821" s="7">
        <v>10.8</v>
      </c>
      <c r="S821" s="8">
        <v>10.8</v>
      </c>
    </row>
    <row r="822" spans="1:19" s="12" customFormat="1" ht="16.5" customHeight="1">
      <c r="A822" s="3"/>
      <c r="B822" s="4" t="s">
        <v>13</v>
      </c>
      <c r="C822" s="56">
        <f>(C817*4+C818*7+C819*7+C820*7+C821*6)/31</f>
        <v>25.695167741935485</v>
      </c>
      <c r="D822" s="11"/>
      <c r="E822" s="11">
        <f aca="true" t="shared" si="116" ref="E822:S822">(E817*4+E818*7+E819*7+E820*7+E821*6)/31</f>
        <v>26.093332258064514</v>
      </c>
      <c r="F822" s="11">
        <f t="shared" si="116"/>
        <v>26.401206451612904</v>
      </c>
      <c r="G822" s="11">
        <f t="shared" si="116"/>
        <v>27.527864516129032</v>
      </c>
      <c r="H822" s="11">
        <f t="shared" si="116"/>
        <v>25.865193548387097</v>
      </c>
      <c r="I822" s="11">
        <f t="shared" si="116"/>
        <v>24.92572258064516</v>
      </c>
      <c r="J822" s="11">
        <f t="shared" si="116"/>
        <v>26.09958387096774</v>
      </c>
      <c r="K822" s="11"/>
      <c r="L822" s="11"/>
      <c r="M822" s="11"/>
      <c r="N822" s="11">
        <f t="shared" si="116"/>
        <v>24.91994193548387</v>
      </c>
      <c r="O822" s="38">
        <f t="shared" si="116"/>
        <v>19.399525806451617</v>
      </c>
      <c r="P822" s="11">
        <f t="shared" si="116"/>
        <v>10.800000000000002</v>
      </c>
      <c r="Q822" s="11">
        <f t="shared" si="116"/>
        <v>10.800000000000002</v>
      </c>
      <c r="R822" s="48">
        <f t="shared" si="116"/>
        <v>10.800000000000002</v>
      </c>
      <c r="S822" s="38">
        <f t="shared" si="116"/>
        <v>10.800000000000002</v>
      </c>
    </row>
    <row r="823" spans="1:19" s="12" customFormat="1" ht="16.5" customHeight="1">
      <c r="A823" s="3"/>
      <c r="B823" s="13" t="s">
        <v>233</v>
      </c>
      <c r="C823" s="7">
        <v>26.3825</v>
      </c>
      <c r="D823" s="7"/>
      <c r="E823" s="7">
        <v>26.6147</v>
      </c>
      <c r="F823" s="7">
        <v>26.7557</v>
      </c>
      <c r="G823" s="7">
        <v>26.7714</v>
      </c>
      <c r="H823" s="14">
        <v>26.3818</v>
      </c>
      <c r="I823" s="7">
        <v>24.8758</v>
      </c>
      <c r="J823" s="7">
        <v>26.145</v>
      </c>
      <c r="K823" s="7"/>
      <c r="L823" s="7"/>
      <c r="M823" s="7"/>
      <c r="N823" s="7">
        <v>24.9063</v>
      </c>
      <c r="O823" s="8">
        <v>19.8694</v>
      </c>
      <c r="P823" s="7">
        <v>10.8694</v>
      </c>
      <c r="Q823" s="7">
        <v>10.8694</v>
      </c>
      <c r="R823" s="7">
        <v>10.8694</v>
      </c>
      <c r="S823" s="8">
        <v>10.8694</v>
      </c>
    </row>
    <row r="824" spans="1:19" s="12" customFormat="1" ht="16.5" customHeight="1">
      <c r="A824" s="3"/>
      <c r="B824" s="13" t="s">
        <v>14</v>
      </c>
      <c r="C824" s="7">
        <v>25.7811</v>
      </c>
      <c r="D824" s="7"/>
      <c r="E824" s="7">
        <v>26.073</v>
      </c>
      <c r="F824" s="7">
        <v>26.274</v>
      </c>
      <c r="G824" s="7">
        <v>26.6812</v>
      </c>
      <c r="H824" s="14">
        <v>25.8416</v>
      </c>
      <c r="I824" s="7">
        <v>24.5264</v>
      </c>
      <c r="J824" s="7">
        <v>25.616</v>
      </c>
      <c r="K824" s="7"/>
      <c r="L824" s="7"/>
      <c r="M824" s="7"/>
      <c r="N824" s="7">
        <v>24.3522</v>
      </c>
      <c r="O824" s="8">
        <v>19.7865</v>
      </c>
      <c r="P824" s="7">
        <v>10.8694</v>
      </c>
      <c r="Q824" s="7">
        <v>10.8694</v>
      </c>
      <c r="R824" s="7">
        <v>10.8694</v>
      </c>
      <c r="S824" s="8">
        <v>10.8694</v>
      </c>
    </row>
    <row r="825" spans="1:19" s="12" customFormat="1" ht="16.5" customHeight="1">
      <c r="A825" s="3"/>
      <c r="B825" s="13" t="s">
        <v>15</v>
      </c>
      <c r="C825" s="7">
        <v>25.5657</v>
      </c>
      <c r="D825" s="7"/>
      <c r="E825" s="7">
        <v>25.8778</v>
      </c>
      <c r="F825" s="7">
        <v>26.0996</v>
      </c>
      <c r="G825" s="7">
        <v>26.6489</v>
      </c>
      <c r="H825" s="14">
        <v>25.6491</v>
      </c>
      <c r="I825" s="7">
        <v>24.6478</v>
      </c>
      <c r="J825" s="7">
        <v>25.4598</v>
      </c>
      <c r="K825" s="7"/>
      <c r="L825" s="7"/>
      <c r="M825" s="7"/>
      <c r="N825" s="7">
        <v>24.2607</v>
      </c>
      <c r="O825" s="8">
        <v>19.6091</v>
      </c>
      <c r="P825" s="7">
        <v>10.8694</v>
      </c>
      <c r="Q825" s="7">
        <v>10.8694</v>
      </c>
      <c r="R825" s="7">
        <v>10.8694</v>
      </c>
      <c r="S825" s="8">
        <v>10.8694</v>
      </c>
    </row>
    <row r="826" spans="1:19" s="12" customFormat="1" ht="16.5" customHeight="1">
      <c r="A826" s="3"/>
      <c r="B826" s="13" t="s">
        <v>16</v>
      </c>
      <c r="C826" s="7">
        <v>26.4331</v>
      </c>
      <c r="D826" s="7"/>
      <c r="E826" s="7">
        <v>26.6582</v>
      </c>
      <c r="F826" s="7">
        <v>26.7391</v>
      </c>
      <c r="G826" s="7">
        <v>26.779</v>
      </c>
      <c r="H826" s="14">
        <v>26.4295</v>
      </c>
      <c r="I826" s="7">
        <v>25.5105</v>
      </c>
      <c r="J826" s="7">
        <v>26.1053</v>
      </c>
      <c r="K826" s="7"/>
      <c r="L826" s="7"/>
      <c r="M826" s="7"/>
      <c r="N826" s="7">
        <v>24.9914</v>
      </c>
      <c r="O826" s="8">
        <v>19.9688</v>
      </c>
      <c r="P826" s="7">
        <v>10.8694</v>
      </c>
      <c r="Q826" s="7">
        <v>10.8694</v>
      </c>
      <c r="R826" s="7">
        <v>10.8694</v>
      </c>
      <c r="S826" s="8">
        <v>10.8694</v>
      </c>
    </row>
    <row r="827" spans="1:19" s="12" customFormat="1" ht="16.5" customHeight="1">
      <c r="A827" s="3"/>
      <c r="B827" s="13" t="s">
        <v>17</v>
      </c>
      <c r="C827" s="7">
        <v>26.9137</v>
      </c>
      <c r="D827" s="7"/>
      <c r="E827" s="7">
        <v>27.0909</v>
      </c>
      <c r="F827" s="7">
        <v>27.1779</v>
      </c>
      <c r="G827" s="7">
        <v>26.8511</v>
      </c>
      <c r="H827" s="14">
        <v>26.8618</v>
      </c>
      <c r="I827" s="7">
        <v>25.6544</v>
      </c>
      <c r="J827" s="7">
        <v>26.2792</v>
      </c>
      <c r="K827" s="7"/>
      <c r="L827" s="7"/>
      <c r="M827" s="7"/>
      <c r="N827" s="7">
        <v>25.1655</v>
      </c>
      <c r="O827" s="8">
        <v>20.0426</v>
      </c>
      <c r="P827" s="7">
        <v>10.8694</v>
      </c>
      <c r="Q827" s="7">
        <v>10.8694</v>
      </c>
      <c r="R827" s="7">
        <v>10.8694</v>
      </c>
      <c r="S827" s="8">
        <v>10.8694</v>
      </c>
    </row>
    <row r="828" spans="1:19" s="12" customFormat="1" ht="16.5" customHeight="1">
      <c r="A828" s="3"/>
      <c r="B828" s="13" t="s">
        <v>18</v>
      </c>
      <c r="C828" s="7">
        <v>27.1588</v>
      </c>
      <c r="D828" s="7"/>
      <c r="E828" s="7">
        <v>27.3116</v>
      </c>
      <c r="F828" s="7">
        <v>27.3741</v>
      </c>
      <c r="G828" s="7">
        <v>26.8878</v>
      </c>
      <c r="H828" s="14">
        <v>27.0823</v>
      </c>
      <c r="I828" s="7">
        <v>25.4966</v>
      </c>
      <c r="J828" s="7">
        <v>26.2563</v>
      </c>
      <c r="K828" s="7"/>
      <c r="L828" s="7"/>
      <c r="M828" s="7"/>
      <c r="N828" s="7">
        <v>25.0766</v>
      </c>
      <c r="O828" s="8">
        <v>19.9417</v>
      </c>
      <c r="P828" s="7">
        <v>10.8694</v>
      </c>
      <c r="Q828" s="7">
        <v>10.8694</v>
      </c>
      <c r="R828" s="7">
        <v>10.8694</v>
      </c>
      <c r="S828" s="8">
        <v>10.8694</v>
      </c>
    </row>
    <row r="829" spans="1:19" s="12" customFormat="1" ht="16.5" customHeight="1">
      <c r="A829" s="3"/>
      <c r="B829" s="4" t="s">
        <v>13</v>
      </c>
      <c r="C829" s="56">
        <f>(C823*1+C824*7+C825*7+C826*7+C827*7+C828*1)/30</f>
        <v>26.213216666666664</v>
      </c>
      <c r="D829" s="11"/>
      <c r="E829" s="11">
        <f aca="true" t="shared" si="117" ref="E829:S829">(E823*1+E824*7+E825*7+E826*7+E827*7+E828*1)/30</f>
        <v>26.460853333333333</v>
      </c>
      <c r="F829" s="11">
        <f t="shared" si="117"/>
        <v>26.605466666666665</v>
      </c>
      <c r="G829" s="11">
        <f t="shared" si="117"/>
        <v>26.746019999999998</v>
      </c>
      <c r="H829" s="11">
        <f t="shared" si="117"/>
        <v>26.231270000000002</v>
      </c>
      <c r="I829" s="11">
        <f t="shared" si="117"/>
        <v>25.091536666666663</v>
      </c>
      <c r="J829" s="11">
        <f t="shared" si="117"/>
        <v>25.88744666666667</v>
      </c>
      <c r="K829" s="11"/>
      <c r="L829" s="11"/>
      <c r="M829" s="11"/>
      <c r="N829" s="11">
        <f t="shared" si="117"/>
        <v>24.71238333333333</v>
      </c>
      <c r="O829" s="38">
        <f t="shared" si="117"/>
        <v>19.855336666666666</v>
      </c>
      <c r="P829" s="11">
        <f t="shared" si="117"/>
        <v>10.8694</v>
      </c>
      <c r="Q829" s="11">
        <f t="shared" si="117"/>
        <v>10.8694</v>
      </c>
      <c r="R829" s="48">
        <f t="shared" si="117"/>
        <v>10.8694</v>
      </c>
      <c r="S829" s="38">
        <f t="shared" si="117"/>
        <v>10.8694</v>
      </c>
    </row>
    <row r="830" spans="1:19" s="12" customFormat="1" ht="16.5" customHeight="1">
      <c r="A830" s="3"/>
      <c r="B830" s="13" t="s">
        <v>238</v>
      </c>
      <c r="C830" s="7">
        <v>26.9404</v>
      </c>
      <c r="D830" s="7"/>
      <c r="E830" s="7">
        <v>27.1177</v>
      </c>
      <c r="F830" s="7">
        <v>27.2048</v>
      </c>
      <c r="G830" s="7">
        <v>26.8806</v>
      </c>
      <c r="H830" s="14">
        <v>26.8889</v>
      </c>
      <c r="I830" s="7">
        <v>25.068</v>
      </c>
      <c r="J830" s="7">
        <v>25.8757</v>
      </c>
      <c r="K830" s="7"/>
      <c r="L830" s="7"/>
      <c r="M830" s="7"/>
      <c r="N830" s="7">
        <v>24.6735</v>
      </c>
      <c r="O830" s="8">
        <v>19.6318</v>
      </c>
      <c r="P830" s="7">
        <v>10.8653</v>
      </c>
      <c r="Q830" s="7">
        <v>10.8653</v>
      </c>
      <c r="R830" s="7">
        <v>10.8653</v>
      </c>
      <c r="S830" s="8">
        <v>10.8653</v>
      </c>
    </row>
    <row r="831" spans="1:19" s="12" customFormat="1" ht="16.5" customHeight="1">
      <c r="A831" s="3"/>
      <c r="B831" s="13" t="s">
        <v>19</v>
      </c>
      <c r="C831" s="7">
        <v>26.2496</v>
      </c>
      <c r="D831" s="7"/>
      <c r="E831" s="7">
        <v>26.4955</v>
      </c>
      <c r="F831" s="7">
        <v>26.6515</v>
      </c>
      <c r="G831" s="7">
        <v>26.7769</v>
      </c>
      <c r="H831" s="14">
        <v>26.2675</v>
      </c>
      <c r="I831" s="7">
        <v>24.5092</v>
      </c>
      <c r="J831" s="7">
        <v>25.3671</v>
      </c>
      <c r="K831" s="7"/>
      <c r="L831" s="7"/>
      <c r="M831" s="7"/>
      <c r="N831" s="7">
        <v>24.0971</v>
      </c>
      <c r="O831" s="8">
        <v>19.243</v>
      </c>
      <c r="P831" s="7">
        <v>10.8653</v>
      </c>
      <c r="Q831" s="7">
        <v>10.8653</v>
      </c>
      <c r="R831" s="7">
        <v>10.8653</v>
      </c>
      <c r="S831" s="8">
        <v>10.8653</v>
      </c>
    </row>
    <row r="832" spans="1:19" s="12" customFormat="1" ht="16.5" customHeight="1">
      <c r="A832" s="3"/>
      <c r="B832" s="13" t="s">
        <v>20</v>
      </c>
      <c r="C832" s="7">
        <v>25.7559</v>
      </c>
      <c r="D832" s="7"/>
      <c r="E832" s="7">
        <v>26.0501</v>
      </c>
      <c r="F832" s="7">
        <v>26.255</v>
      </c>
      <c r="G832" s="7">
        <v>26.7029</v>
      </c>
      <c r="H832" s="14">
        <v>25.8236</v>
      </c>
      <c r="I832" s="7">
        <v>24.3086</v>
      </c>
      <c r="J832" s="7">
        <v>25.1039</v>
      </c>
      <c r="K832" s="7"/>
      <c r="L832" s="7"/>
      <c r="M832" s="7"/>
      <c r="N832" s="7">
        <v>23.8358</v>
      </c>
      <c r="O832" s="8">
        <v>19.0405</v>
      </c>
      <c r="P832" s="7">
        <v>10.8653</v>
      </c>
      <c r="Q832" s="7">
        <v>10.8653</v>
      </c>
      <c r="R832" s="7">
        <v>10.8653</v>
      </c>
      <c r="S832" s="8">
        <v>10.8653</v>
      </c>
    </row>
    <row r="833" spans="1:19" s="12" customFormat="1" ht="16.5" customHeight="1">
      <c r="A833" s="3"/>
      <c r="B833" s="13" t="s">
        <v>21</v>
      </c>
      <c r="C833" s="7">
        <v>24.8641</v>
      </c>
      <c r="D833" s="7"/>
      <c r="E833" s="7">
        <v>25.2462</v>
      </c>
      <c r="F833" s="7">
        <v>25.5395</v>
      </c>
      <c r="G833" s="7">
        <v>26.5691</v>
      </c>
      <c r="H833" s="14">
        <v>25.0215</v>
      </c>
      <c r="I833" s="7">
        <v>24.1334</v>
      </c>
      <c r="J833" s="7">
        <v>24.839</v>
      </c>
      <c r="K833" s="7"/>
      <c r="L833" s="7"/>
      <c r="M833" s="7"/>
      <c r="N833" s="7">
        <v>23.6257</v>
      </c>
      <c r="O833" s="8">
        <v>18.867</v>
      </c>
      <c r="P833" s="7">
        <v>10.8653</v>
      </c>
      <c r="Q833" s="7">
        <v>10.8653</v>
      </c>
      <c r="R833" s="7">
        <v>10.8653</v>
      </c>
      <c r="S833" s="8">
        <v>10.8653</v>
      </c>
    </row>
    <row r="834" spans="1:19" s="12" customFormat="1" ht="16.5" customHeight="1">
      <c r="A834" s="3"/>
      <c r="B834" s="13" t="s">
        <v>22</v>
      </c>
      <c r="C834" s="7">
        <v>24.3568</v>
      </c>
      <c r="D834" s="7"/>
      <c r="E834" s="7">
        <v>24.7891</v>
      </c>
      <c r="F834" s="7">
        <v>25.133</v>
      </c>
      <c r="G834" s="7">
        <v>26.493</v>
      </c>
      <c r="H834" s="14">
        <v>24.5652</v>
      </c>
      <c r="I834" s="7">
        <v>24.1903</v>
      </c>
      <c r="J834" s="7">
        <v>24.8677</v>
      </c>
      <c r="K834" s="7"/>
      <c r="L834" s="7"/>
      <c r="M834" s="7"/>
      <c r="N834" s="7">
        <v>23.6872</v>
      </c>
      <c r="O834" s="8">
        <v>18.8884</v>
      </c>
      <c r="P834" s="7">
        <v>10.8653</v>
      </c>
      <c r="Q834" s="7">
        <v>10.8653</v>
      </c>
      <c r="R834" s="7">
        <v>10.8653</v>
      </c>
      <c r="S834" s="8">
        <v>10.8653</v>
      </c>
    </row>
    <row r="835" spans="1:19" s="12" customFormat="1" ht="16.5" customHeight="1">
      <c r="A835" s="3"/>
      <c r="B835" s="4" t="s">
        <v>13</v>
      </c>
      <c r="C835" s="56">
        <f>(C830*6+C831*7+C832*7+C833*7+C834*4)/31</f>
        <v>25.71473548387097</v>
      </c>
      <c r="D835" s="11"/>
      <c r="E835" s="11">
        <f aca="true" t="shared" si="118" ref="E835:S835">(E830*6+E831*7+E832*7+E833*7+E834*4)/31</f>
        <v>26.013070967741935</v>
      </c>
      <c r="F835" s="11">
        <f t="shared" si="118"/>
        <v>26.22202580645161</v>
      </c>
      <c r="G835" s="11">
        <f t="shared" si="118"/>
        <v>26.696706451612904</v>
      </c>
      <c r="H835" s="11">
        <f t="shared" si="118"/>
        <v>25.786529032258063</v>
      </c>
      <c r="I835" s="11">
        <f t="shared" si="118"/>
        <v>24.446051612903226</v>
      </c>
      <c r="J835" s="11">
        <f t="shared" si="118"/>
        <v>25.22241935483871</v>
      </c>
      <c r="K835" s="11"/>
      <c r="L835" s="11"/>
      <c r="M835" s="11"/>
      <c r="N835" s="11">
        <f t="shared" si="118"/>
        <v>23.99032258064516</v>
      </c>
      <c r="O835" s="38">
        <f t="shared" si="118"/>
        <v>19.14186774193548</v>
      </c>
      <c r="P835" s="11">
        <f t="shared" si="118"/>
        <v>10.8653</v>
      </c>
      <c r="Q835" s="11">
        <f t="shared" si="118"/>
        <v>10.8653</v>
      </c>
      <c r="R835" s="48">
        <f t="shared" si="118"/>
        <v>10.8653</v>
      </c>
      <c r="S835" s="38">
        <f t="shared" si="118"/>
        <v>10.8653</v>
      </c>
    </row>
    <row r="836" spans="1:19" s="12" customFormat="1" ht="16.5" customHeight="1">
      <c r="A836" s="3"/>
      <c r="B836" s="13" t="s">
        <v>244</v>
      </c>
      <c r="C836" s="7">
        <v>24.0665</v>
      </c>
      <c r="D836" s="7"/>
      <c r="E836" s="7">
        <v>24.4511</v>
      </c>
      <c r="F836" s="7">
        <v>24.7466</v>
      </c>
      <c r="G836" s="7">
        <v>25.7865</v>
      </c>
      <c r="H836" s="14">
        <v>24.2258</v>
      </c>
      <c r="I836" s="7">
        <v>24.2872</v>
      </c>
      <c r="J836" s="7">
        <v>24.9991</v>
      </c>
      <c r="K836" s="7"/>
      <c r="L836" s="7"/>
      <c r="M836" s="7"/>
      <c r="N836" s="7">
        <v>23.8221</v>
      </c>
      <c r="O836" s="8">
        <v>19.1117</v>
      </c>
      <c r="P836" s="7">
        <v>10.7283</v>
      </c>
      <c r="Q836" s="7">
        <v>10.7283</v>
      </c>
      <c r="R836" s="7">
        <v>10.7283</v>
      </c>
      <c r="S836" s="8">
        <v>10.7283</v>
      </c>
    </row>
    <row r="837" spans="1:19" s="12" customFormat="1" ht="16.5" customHeight="1">
      <c r="A837" s="3"/>
      <c r="B837" s="13" t="s">
        <v>23</v>
      </c>
      <c r="C837" s="7">
        <v>23.6322</v>
      </c>
      <c r="D837" s="7"/>
      <c r="E837" s="7">
        <v>24.061</v>
      </c>
      <c r="F837" s="7">
        <v>24.4003</v>
      </c>
      <c r="G837" s="7">
        <v>25.7213</v>
      </c>
      <c r="H837" s="14">
        <v>23.835</v>
      </c>
      <c r="I837" s="7">
        <v>24.2683</v>
      </c>
      <c r="J837" s="7">
        <v>24.9898</v>
      </c>
      <c r="K837" s="7"/>
      <c r="L837" s="7"/>
      <c r="M837" s="7"/>
      <c r="N837" s="7">
        <v>23.8017</v>
      </c>
      <c r="O837" s="8">
        <v>19.1247</v>
      </c>
      <c r="P837" s="7">
        <v>10.7283</v>
      </c>
      <c r="Q837" s="7">
        <v>10.7283</v>
      </c>
      <c r="R837" s="7">
        <v>10.7283</v>
      </c>
      <c r="S837" s="8">
        <v>10.7283</v>
      </c>
    </row>
    <row r="838" spans="1:19" s="12" customFormat="1" ht="16.5" customHeight="1">
      <c r="A838" s="3"/>
      <c r="B838" s="13" t="s">
        <v>24</v>
      </c>
      <c r="C838" s="7">
        <v>23.3989</v>
      </c>
      <c r="D838" s="7"/>
      <c r="E838" s="7">
        <v>23.8503</v>
      </c>
      <c r="F838" s="7">
        <v>24.2125</v>
      </c>
      <c r="G838" s="7">
        <v>25.6863</v>
      </c>
      <c r="H838" s="14">
        <v>23.6252</v>
      </c>
      <c r="I838" s="7">
        <v>24.0305</v>
      </c>
      <c r="J838" s="7">
        <v>24.7421</v>
      </c>
      <c r="K838" s="7"/>
      <c r="L838" s="7"/>
      <c r="M838" s="7"/>
      <c r="N838" s="7">
        <v>23.525</v>
      </c>
      <c r="O838" s="8">
        <v>18.8175</v>
      </c>
      <c r="P838" s="7">
        <v>10.7283</v>
      </c>
      <c r="Q838" s="7">
        <v>10.7283</v>
      </c>
      <c r="R838" s="7">
        <v>10.7283</v>
      </c>
      <c r="S838" s="8">
        <v>10.7283</v>
      </c>
    </row>
    <row r="839" spans="1:19" s="12" customFormat="1" ht="16.5" customHeight="1">
      <c r="A839" s="3"/>
      <c r="B839" s="13" t="s">
        <v>25</v>
      </c>
      <c r="C839" s="7">
        <v>22.9975</v>
      </c>
      <c r="D839" s="7"/>
      <c r="E839" s="7">
        <v>23.4883</v>
      </c>
      <c r="F839" s="7">
        <v>23.8903</v>
      </c>
      <c r="G839" s="7">
        <v>25.6261</v>
      </c>
      <c r="H839" s="14">
        <v>23.2643</v>
      </c>
      <c r="I839" s="7">
        <v>23.59</v>
      </c>
      <c r="J839" s="7">
        <v>24.3556</v>
      </c>
      <c r="K839" s="7"/>
      <c r="L839" s="7"/>
      <c r="M839" s="7"/>
      <c r="N839" s="7">
        <v>23.1249</v>
      </c>
      <c r="O839" s="8">
        <v>18.656</v>
      </c>
      <c r="P839" s="7">
        <v>10.7283</v>
      </c>
      <c r="Q839" s="7">
        <v>10.7283</v>
      </c>
      <c r="R839" s="7">
        <v>10.7283</v>
      </c>
      <c r="S839" s="8">
        <v>10.7283</v>
      </c>
    </row>
    <row r="840" spans="1:19" s="12" customFormat="1" ht="16.5" customHeight="1">
      <c r="A840" s="3"/>
      <c r="B840" s="13" t="s">
        <v>26</v>
      </c>
      <c r="C840" s="7">
        <v>23.4736</v>
      </c>
      <c r="D840" s="7"/>
      <c r="E840" s="7">
        <v>23.9167</v>
      </c>
      <c r="F840" s="7">
        <v>24.2712</v>
      </c>
      <c r="G840" s="7">
        <v>25.6975</v>
      </c>
      <c r="H840" s="14">
        <v>23.6925</v>
      </c>
      <c r="I840" s="7">
        <v>23.6703</v>
      </c>
      <c r="J840" s="7">
        <v>24.4333</v>
      </c>
      <c r="K840" s="7"/>
      <c r="L840" s="7"/>
      <c r="M840" s="7"/>
      <c r="N840" s="7">
        <v>23.274</v>
      </c>
      <c r="O840" s="8">
        <v>18.8031</v>
      </c>
      <c r="P840" s="7">
        <v>10.7283</v>
      </c>
      <c r="Q840" s="7">
        <v>10.7283</v>
      </c>
      <c r="R840" s="7">
        <v>10.7283</v>
      </c>
      <c r="S840" s="8">
        <v>10.7283</v>
      </c>
    </row>
    <row r="841" spans="1:19" s="12" customFormat="1" ht="16.5" customHeight="1">
      <c r="A841" s="3"/>
      <c r="B841" s="4" t="s">
        <v>13</v>
      </c>
      <c r="C841" s="56">
        <f>(C836*3+C837*7+C838*7+C839*7+C840*7)/31</f>
        <v>23.442416129032257</v>
      </c>
      <c r="D841" s="11"/>
      <c r="E841" s="11">
        <f aca="true" t="shared" si="119" ref="E841:S841">(E836*3+E837*7+E838*7+E839*7+E840*7)/31</f>
        <v>23.889270967741933</v>
      </c>
      <c r="F841" s="11">
        <f t="shared" si="119"/>
        <v>24.2470935483871</v>
      </c>
      <c r="G841" s="11">
        <f t="shared" si="119"/>
        <v>25.69283548387097</v>
      </c>
      <c r="H841" s="11">
        <f t="shared" si="119"/>
        <v>23.6644</v>
      </c>
      <c r="I841" s="11">
        <f t="shared" si="119"/>
        <v>23.928235483870967</v>
      </c>
      <c r="J841" s="11">
        <f t="shared" si="119"/>
        <v>24.665899999999997</v>
      </c>
      <c r="K841" s="11"/>
      <c r="L841" s="11"/>
      <c r="M841" s="11"/>
      <c r="N841" s="11">
        <f t="shared" si="119"/>
        <v>23.469209677419357</v>
      </c>
      <c r="O841" s="38">
        <f t="shared" si="119"/>
        <v>18.87561935483871</v>
      </c>
      <c r="P841" s="11">
        <f>(P836*3+P837*7+P838*7+P839*7+P840*7)/31</f>
        <v>10.728299999999999</v>
      </c>
      <c r="Q841" s="11">
        <f t="shared" si="119"/>
        <v>10.728299999999999</v>
      </c>
      <c r="R841" s="48">
        <f t="shared" si="119"/>
        <v>10.728299999999999</v>
      </c>
      <c r="S841" s="38">
        <f t="shared" si="119"/>
        <v>10.728299999999999</v>
      </c>
    </row>
    <row r="842" spans="1:19" s="12" customFormat="1" ht="16.5" customHeight="1">
      <c r="A842" s="3"/>
      <c r="B842" s="13" t="s">
        <v>27</v>
      </c>
      <c r="C842" s="7">
        <v>23.5826</v>
      </c>
      <c r="D842" s="7"/>
      <c r="E842" s="7">
        <v>24.0034</v>
      </c>
      <c r="F842" s="7">
        <v>24.3352</v>
      </c>
      <c r="G842" s="7">
        <v>25.6119</v>
      </c>
      <c r="H842" s="14">
        <v>23.7803</v>
      </c>
      <c r="I842" s="7">
        <v>23.7496</v>
      </c>
      <c r="J842" s="7">
        <v>24.3516</v>
      </c>
      <c r="K842" s="7"/>
      <c r="L842" s="7"/>
      <c r="M842" s="7"/>
      <c r="N842" s="7">
        <v>23.2583</v>
      </c>
      <c r="O842" s="8">
        <v>18.7812</v>
      </c>
      <c r="P842" s="7">
        <v>10.6973</v>
      </c>
      <c r="Q842" s="7">
        <v>10.6973</v>
      </c>
      <c r="R842" s="7">
        <v>10.6973</v>
      </c>
      <c r="S842" s="8">
        <v>10.6973</v>
      </c>
    </row>
    <row r="843" spans="1:19" s="12" customFormat="1" ht="16.5" customHeight="1">
      <c r="A843" s="3"/>
      <c r="B843" s="13" t="s">
        <v>28</v>
      </c>
      <c r="C843" s="7">
        <v>23.3959</v>
      </c>
      <c r="D843" s="7"/>
      <c r="E843" s="7">
        <v>23.8359</v>
      </c>
      <c r="F843" s="7">
        <v>24.1867</v>
      </c>
      <c r="G843" s="7">
        <v>25.5839</v>
      </c>
      <c r="H843" s="14">
        <v>23.6123</v>
      </c>
      <c r="I843" s="7">
        <v>23.3656</v>
      </c>
      <c r="J843" s="7">
        <v>23.8918</v>
      </c>
      <c r="K843" s="7"/>
      <c r="L843" s="7"/>
      <c r="M843" s="7"/>
      <c r="N843" s="7">
        <v>22.791</v>
      </c>
      <c r="O843" s="8">
        <v>18.5941</v>
      </c>
      <c r="P843" s="7">
        <v>10.6973</v>
      </c>
      <c r="Q843" s="7">
        <v>10.6973</v>
      </c>
      <c r="R843" s="7">
        <v>10.6973</v>
      </c>
      <c r="S843" s="8">
        <v>10.6973</v>
      </c>
    </row>
    <row r="844" spans="1:19" s="12" customFormat="1" ht="16.5" customHeight="1">
      <c r="A844" s="3"/>
      <c r="B844" s="13" t="s">
        <v>29</v>
      </c>
      <c r="C844" s="7">
        <v>23.3428</v>
      </c>
      <c r="D844" s="7"/>
      <c r="E844" s="7">
        <v>23.789</v>
      </c>
      <c r="F844" s="7">
        <v>24.1455</v>
      </c>
      <c r="G844" s="7">
        <v>25.5759</v>
      </c>
      <c r="H844" s="14">
        <v>23.5644</v>
      </c>
      <c r="I844" s="7">
        <v>23.0523</v>
      </c>
      <c r="J844" s="7">
        <v>23.6358</v>
      </c>
      <c r="K844" s="7"/>
      <c r="L844" s="7"/>
      <c r="M844" s="7"/>
      <c r="N844" s="7">
        <v>22.4978</v>
      </c>
      <c r="O844" s="8">
        <v>18.3616</v>
      </c>
      <c r="P844" s="7">
        <v>10.6973</v>
      </c>
      <c r="Q844" s="7">
        <v>10.6973</v>
      </c>
      <c r="R844" s="7">
        <v>10.6973</v>
      </c>
      <c r="S844" s="8">
        <v>10.6973</v>
      </c>
    </row>
    <row r="845" spans="1:19" s="12" customFormat="1" ht="16.5" customHeight="1">
      <c r="A845" s="3"/>
      <c r="B845" s="13" t="s">
        <v>30</v>
      </c>
      <c r="C845" s="7">
        <v>23.1616</v>
      </c>
      <c r="D845" s="7"/>
      <c r="E845" s="7">
        <v>23.6257</v>
      </c>
      <c r="F845" s="7">
        <v>24.0003</v>
      </c>
      <c r="G845" s="7">
        <v>25.5487</v>
      </c>
      <c r="H845" s="14">
        <v>23.4013</v>
      </c>
      <c r="I845" s="7">
        <v>22.7579</v>
      </c>
      <c r="J845" s="7">
        <v>23.3542</v>
      </c>
      <c r="K845" s="7"/>
      <c r="L845" s="7"/>
      <c r="M845" s="7"/>
      <c r="N845" s="7">
        <v>22.1341</v>
      </c>
      <c r="O845" s="8">
        <v>18.211</v>
      </c>
      <c r="P845" s="7">
        <v>10.6973</v>
      </c>
      <c r="Q845" s="7">
        <v>10.6973</v>
      </c>
      <c r="R845" s="7">
        <v>10.6973</v>
      </c>
      <c r="S845" s="8">
        <v>10.6973</v>
      </c>
    </row>
    <row r="846" spans="1:19" s="12" customFormat="1" ht="16.5" customHeight="1">
      <c r="A846" s="3"/>
      <c r="B846" s="13" t="s">
        <v>31</v>
      </c>
      <c r="C846" s="7">
        <v>23.246</v>
      </c>
      <c r="D846" s="7"/>
      <c r="E846" s="7">
        <v>23.7022</v>
      </c>
      <c r="F846" s="7">
        <v>24.0685</v>
      </c>
      <c r="G846" s="7">
        <v>25.5614</v>
      </c>
      <c r="H846" s="14">
        <v>23.4772</v>
      </c>
      <c r="I846" s="7">
        <v>22.7533</v>
      </c>
      <c r="J846" s="7">
        <v>23.3335</v>
      </c>
      <c r="K846" s="7"/>
      <c r="L846" s="7"/>
      <c r="M846" s="7"/>
      <c r="N846" s="7">
        <v>22.0881</v>
      </c>
      <c r="O846" s="8">
        <v>18.1874</v>
      </c>
      <c r="P846" s="7">
        <v>10.6973</v>
      </c>
      <c r="Q846" s="7">
        <v>10.6973</v>
      </c>
      <c r="R846" s="7">
        <v>10.6973</v>
      </c>
      <c r="S846" s="8">
        <v>10.6973</v>
      </c>
    </row>
    <row r="847" spans="1:19" s="12" customFormat="1" ht="16.5" customHeight="1">
      <c r="A847" s="3"/>
      <c r="B847" s="4" t="s">
        <v>13</v>
      </c>
      <c r="C847" s="56">
        <f>(C842*7+C843*7+C844*7+C845*7+C846*2)/30</f>
        <v>23.36241</v>
      </c>
      <c r="D847" s="11"/>
      <c r="E847" s="11">
        <f aca="true" t="shared" si="120" ref="E847:S847">(E842*7+E843*7+E844*7+E845*7+E846*2)/30</f>
        <v>23.80608</v>
      </c>
      <c r="F847" s="11">
        <f t="shared" si="120"/>
        <v>24.160363333333333</v>
      </c>
      <c r="G847" s="11">
        <f>(G842*7+G843*7+G844*7+G845*7+G846*2)/30</f>
        <v>25.57885333333333</v>
      </c>
      <c r="H847" s="11">
        <f t="shared" si="120"/>
        <v>23.582083333333333</v>
      </c>
      <c r="I847" s="11">
        <f t="shared" si="120"/>
        <v>23.19948</v>
      </c>
      <c r="J847" s="11">
        <f t="shared" si="120"/>
        <v>23.776693333333338</v>
      </c>
      <c r="K847" s="11"/>
      <c r="L847" s="11"/>
      <c r="M847" s="11"/>
      <c r="N847" s="11">
        <f t="shared" si="120"/>
        <v>22.631486666666667</v>
      </c>
      <c r="O847" s="38">
        <f t="shared" si="120"/>
        <v>18.46700333333333</v>
      </c>
      <c r="P847" s="11">
        <f t="shared" si="120"/>
        <v>10.697300000000002</v>
      </c>
      <c r="Q847" s="11">
        <f t="shared" si="120"/>
        <v>10.697300000000002</v>
      </c>
      <c r="R847" s="48">
        <f t="shared" si="120"/>
        <v>10.697300000000002</v>
      </c>
      <c r="S847" s="38">
        <f t="shared" si="120"/>
        <v>10.697300000000002</v>
      </c>
    </row>
    <row r="848" spans="1:19" s="12" customFormat="1" ht="16.5" customHeight="1">
      <c r="A848" s="3"/>
      <c r="B848" s="13" t="s">
        <v>253</v>
      </c>
      <c r="C848" s="7">
        <v>23.1614</v>
      </c>
      <c r="D848" s="7"/>
      <c r="E848" s="7">
        <v>23.7466</v>
      </c>
      <c r="F848" s="7">
        <v>24.2416</v>
      </c>
      <c r="G848" s="7">
        <v>26.5687</v>
      </c>
      <c r="H848" s="14">
        <v>23.521</v>
      </c>
      <c r="I848" s="7">
        <v>22.428</v>
      </c>
      <c r="J848" s="7">
        <v>23.0477</v>
      </c>
      <c r="K848" s="7"/>
      <c r="L848" s="7"/>
      <c r="M848" s="7"/>
      <c r="N848" s="7">
        <v>21.7814</v>
      </c>
      <c r="O848" s="8">
        <v>18.0007</v>
      </c>
      <c r="P848" s="7">
        <v>10.7554</v>
      </c>
      <c r="Q848" s="7">
        <v>10.7554</v>
      </c>
      <c r="R848" s="7">
        <v>10.7554</v>
      </c>
      <c r="S848" s="8">
        <v>10.7554</v>
      </c>
    </row>
    <row r="849" spans="1:19" s="12" customFormat="1" ht="16.5" customHeight="1">
      <c r="A849" s="3"/>
      <c r="B849" s="13" t="s">
        <v>32</v>
      </c>
      <c r="C849" s="7">
        <v>22.7763</v>
      </c>
      <c r="D849" s="7"/>
      <c r="E849" s="7">
        <v>23.4006</v>
      </c>
      <c r="F849" s="7">
        <v>23.9345</v>
      </c>
      <c r="G849" s="7">
        <v>26.5109</v>
      </c>
      <c r="H849" s="14">
        <v>23.1741</v>
      </c>
      <c r="I849" s="7">
        <v>21.8182</v>
      </c>
      <c r="J849" s="7">
        <v>22.5298</v>
      </c>
      <c r="K849" s="7"/>
      <c r="L849" s="7"/>
      <c r="M849" s="7"/>
      <c r="N849" s="7">
        <v>21.2061</v>
      </c>
      <c r="O849" s="8">
        <v>17.3479</v>
      </c>
      <c r="P849" s="7">
        <v>10.7554</v>
      </c>
      <c r="Q849" s="7">
        <v>10.7554</v>
      </c>
      <c r="R849" s="7">
        <v>10.7554</v>
      </c>
      <c r="S849" s="8">
        <v>10.7554</v>
      </c>
    </row>
    <row r="850" spans="1:19" s="12" customFormat="1" ht="16.5" customHeight="1">
      <c r="A850" s="3"/>
      <c r="B850" s="13" t="s">
        <v>33</v>
      </c>
      <c r="C850" s="7">
        <v>21.3274</v>
      </c>
      <c r="D850" s="7"/>
      <c r="E850" s="7">
        <v>22.0961</v>
      </c>
      <c r="F850" s="7">
        <v>22.7746</v>
      </c>
      <c r="G850" s="7">
        <v>26.2936</v>
      </c>
      <c r="H850" s="14">
        <v>21.8707</v>
      </c>
      <c r="I850" s="7">
        <v>20.6848</v>
      </c>
      <c r="J850" s="7">
        <v>21.4378</v>
      </c>
      <c r="K850" s="7"/>
      <c r="L850" s="7"/>
      <c r="M850" s="7"/>
      <c r="N850" s="7">
        <v>20.0387</v>
      </c>
      <c r="O850" s="8">
        <v>15.8438</v>
      </c>
      <c r="P850" s="7">
        <v>10.7554</v>
      </c>
      <c r="Q850" s="7">
        <v>10.7554</v>
      </c>
      <c r="R850" s="7">
        <v>10.7554</v>
      </c>
      <c r="S850" s="8">
        <v>10.7554</v>
      </c>
    </row>
    <row r="851" spans="1:19" s="12" customFormat="1" ht="16.5" customHeight="1">
      <c r="A851" s="3"/>
      <c r="B851" s="13" t="s">
        <v>34</v>
      </c>
      <c r="C851" s="7">
        <v>20.9008</v>
      </c>
      <c r="D851" s="7"/>
      <c r="E851" s="7">
        <v>21.7115</v>
      </c>
      <c r="F851" s="7">
        <v>22.4324</v>
      </c>
      <c r="G851" s="7">
        <v>26.2296</v>
      </c>
      <c r="H851" s="14">
        <v>21.487</v>
      </c>
      <c r="I851" s="7">
        <v>20.5745</v>
      </c>
      <c r="J851" s="7">
        <v>21.1782</v>
      </c>
      <c r="K851" s="7"/>
      <c r="L851" s="7"/>
      <c r="M851" s="7"/>
      <c r="N851" s="7">
        <v>19.7711</v>
      </c>
      <c r="O851" s="8">
        <v>15.5231</v>
      </c>
      <c r="P851" s="7">
        <v>10.7554</v>
      </c>
      <c r="Q851" s="7">
        <v>10.7554</v>
      </c>
      <c r="R851" s="7">
        <v>10.7554</v>
      </c>
      <c r="S851" s="8">
        <v>10.7554</v>
      </c>
    </row>
    <row r="852" spans="1:19" s="12" customFormat="1" ht="16.5" customHeight="1">
      <c r="A852" s="3"/>
      <c r="B852" s="13" t="s">
        <v>35</v>
      </c>
      <c r="C852" s="7">
        <v>20.9765</v>
      </c>
      <c r="D852" s="7"/>
      <c r="E852" s="7">
        <v>21.7803</v>
      </c>
      <c r="F852" s="7">
        <v>22.494</v>
      </c>
      <c r="G852" s="7">
        <v>26.241</v>
      </c>
      <c r="H852" s="14">
        <v>21.555</v>
      </c>
      <c r="I852" s="7">
        <v>20.8028</v>
      </c>
      <c r="J852" s="7">
        <v>21.3677</v>
      </c>
      <c r="K852" s="7"/>
      <c r="L852" s="7"/>
      <c r="M852" s="7"/>
      <c r="N852" s="7">
        <v>19.9777</v>
      </c>
      <c r="O852" s="8">
        <v>15.7001</v>
      </c>
      <c r="P852" s="7">
        <v>10.7554</v>
      </c>
      <c r="Q852" s="7">
        <v>10.7554</v>
      </c>
      <c r="R852" s="7">
        <v>10.7554</v>
      </c>
      <c r="S852" s="8">
        <v>10.7554</v>
      </c>
    </row>
    <row r="853" spans="1:19" s="12" customFormat="1" ht="16.5" customHeight="1">
      <c r="A853" s="3"/>
      <c r="B853" s="4" t="s">
        <v>13</v>
      </c>
      <c r="C853" s="56">
        <f>(C848*5+C849*7+C850*7+C851*7+C852*5)/31</f>
        <v>21.79745161290323</v>
      </c>
      <c r="D853" s="11"/>
      <c r="E853" s="11">
        <f aca="true" t="shared" si="121" ref="E853:S853">(E848*5+E849*7+E850*7+E851*7+E852*5)/31</f>
        <v>22.519093548387094</v>
      </c>
      <c r="F853" s="11">
        <f t="shared" si="121"/>
        <v>23.15059677419355</v>
      </c>
      <c r="G853" s="11">
        <f t="shared" si="121"/>
        <v>26.364103225806453</v>
      </c>
      <c r="H853" s="11">
        <f t="shared" si="121"/>
        <v>22.293632258064513</v>
      </c>
      <c r="I853" s="11">
        <f t="shared" si="121"/>
        <v>21.216016129032262</v>
      </c>
      <c r="J853" s="11">
        <f t="shared" si="121"/>
        <v>21.874116129032256</v>
      </c>
      <c r="K853" s="11"/>
      <c r="L853" s="11"/>
      <c r="M853" s="11"/>
      <c r="N853" s="11">
        <f t="shared" si="121"/>
        <v>20.51312258064516</v>
      </c>
      <c r="O853" s="38">
        <f t="shared" si="121"/>
        <v>16.435729032258063</v>
      </c>
      <c r="P853" s="11">
        <f t="shared" si="121"/>
        <v>10.7554</v>
      </c>
      <c r="Q853" s="11">
        <f t="shared" si="121"/>
        <v>10.7554</v>
      </c>
      <c r="R853" s="48">
        <f t="shared" si="121"/>
        <v>10.7554</v>
      </c>
      <c r="S853" s="38">
        <f t="shared" si="121"/>
        <v>10.7554</v>
      </c>
    </row>
    <row r="854" spans="1:19" s="12" customFormat="1" ht="16.5" customHeight="1">
      <c r="A854" s="3"/>
      <c r="B854" s="13" t="s">
        <v>89</v>
      </c>
      <c r="C854" s="7">
        <v>21.3909</v>
      </c>
      <c r="D854" s="7"/>
      <c r="E854" s="7">
        <v>22.2727</v>
      </c>
      <c r="F854" s="7">
        <v>23.0642</v>
      </c>
      <c r="G854" s="7">
        <v>27.3146</v>
      </c>
      <c r="H854" s="14">
        <v>22.0466</v>
      </c>
      <c r="I854" s="7">
        <v>21.049</v>
      </c>
      <c r="J854" s="7">
        <v>21.5792</v>
      </c>
      <c r="K854" s="7"/>
      <c r="L854" s="7"/>
      <c r="M854" s="7"/>
      <c r="N854" s="7">
        <v>20.2005</v>
      </c>
      <c r="O854" s="8">
        <v>15.8536</v>
      </c>
      <c r="P854" s="7">
        <v>10.8447</v>
      </c>
      <c r="Q854" s="7">
        <v>10.8447</v>
      </c>
      <c r="R854" s="7">
        <v>10.8447</v>
      </c>
      <c r="S854" s="8">
        <v>10.8447</v>
      </c>
    </row>
    <row r="855" spans="1:19" s="12" customFormat="1" ht="16.5" customHeight="1">
      <c r="A855" s="3"/>
      <c r="B855" s="13" t="s">
        <v>36</v>
      </c>
      <c r="C855" s="7">
        <v>20.5021</v>
      </c>
      <c r="D855" s="7"/>
      <c r="E855" s="7">
        <v>21.4739</v>
      </c>
      <c r="F855" s="7">
        <v>22.3547</v>
      </c>
      <c r="G855" s="7">
        <v>27.1813</v>
      </c>
      <c r="H855" s="14">
        <v>21.2469</v>
      </c>
      <c r="I855" s="7">
        <v>20.8911</v>
      </c>
      <c r="J855" s="7">
        <v>21.3362</v>
      </c>
      <c r="K855" s="7"/>
      <c r="L855" s="7"/>
      <c r="M855" s="7"/>
      <c r="N855" s="7">
        <v>19.9293</v>
      </c>
      <c r="O855" s="8">
        <v>15.4456</v>
      </c>
      <c r="P855" s="7">
        <v>10.8447</v>
      </c>
      <c r="Q855" s="7">
        <v>10.8447</v>
      </c>
      <c r="R855" s="7">
        <v>10.8447</v>
      </c>
      <c r="S855" s="8">
        <v>10.8447</v>
      </c>
    </row>
    <row r="856" spans="1:19" s="12" customFormat="1" ht="16.5" customHeight="1">
      <c r="A856" s="3"/>
      <c r="B856" s="13" t="s">
        <v>37</v>
      </c>
      <c r="C856" s="7">
        <v>19.9807</v>
      </c>
      <c r="D856" s="7"/>
      <c r="E856" s="7">
        <v>21.0052</v>
      </c>
      <c r="F856" s="7">
        <v>21.9385</v>
      </c>
      <c r="G856" s="7">
        <v>27.1031</v>
      </c>
      <c r="H856" s="14">
        <v>20.7768</v>
      </c>
      <c r="I856" s="7">
        <v>20.784</v>
      </c>
      <c r="J856" s="7">
        <v>21.1531</v>
      </c>
      <c r="K856" s="7"/>
      <c r="L856" s="7"/>
      <c r="M856" s="7"/>
      <c r="N856" s="7">
        <v>19.6913</v>
      </c>
      <c r="O856" s="8">
        <v>15.3612</v>
      </c>
      <c r="P856" s="7">
        <v>10.8447</v>
      </c>
      <c r="Q856" s="7">
        <v>10.8447</v>
      </c>
      <c r="R856" s="7">
        <v>10.8447</v>
      </c>
      <c r="S856" s="8">
        <v>10.8447</v>
      </c>
    </row>
    <row r="857" spans="1:19" s="12" customFormat="1" ht="16.5" customHeight="1">
      <c r="A857" s="3"/>
      <c r="B857" s="13" t="s">
        <v>38</v>
      </c>
      <c r="C857" s="7">
        <v>19.2293</v>
      </c>
      <c r="D857" s="7"/>
      <c r="E857" s="7">
        <v>20.329</v>
      </c>
      <c r="F857" s="7">
        <v>21.3374</v>
      </c>
      <c r="G857" s="7">
        <v>26.9904</v>
      </c>
      <c r="H857" s="14">
        <v>20.1007</v>
      </c>
      <c r="I857" s="7">
        <v>19.9555</v>
      </c>
      <c r="J857" s="7">
        <v>20.5383</v>
      </c>
      <c r="K857" s="7"/>
      <c r="L857" s="7"/>
      <c r="M857" s="7"/>
      <c r="N857" s="7">
        <v>18.9738</v>
      </c>
      <c r="O857" s="8">
        <v>14.7322</v>
      </c>
      <c r="P857" s="7">
        <v>10.8447</v>
      </c>
      <c r="Q857" s="7">
        <v>10.8447</v>
      </c>
      <c r="R857" s="7">
        <v>10.8447</v>
      </c>
      <c r="S857" s="8">
        <v>10.8447</v>
      </c>
    </row>
    <row r="858" spans="1:19" s="12" customFormat="1" ht="16.5" customHeight="1">
      <c r="A858" s="3"/>
      <c r="B858" s="13" t="s">
        <v>39</v>
      </c>
      <c r="C858" s="7">
        <v>19.3702</v>
      </c>
      <c r="D858" s="7"/>
      <c r="E858" s="7">
        <v>20.4555</v>
      </c>
      <c r="F858" s="7">
        <v>21.4498</v>
      </c>
      <c r="G858" s="7">
        <v>27.0115</v>
      </c>
      <c r="H858" s="14">
        <v>20.2274</v>
      </c>
      <c r="I858" s="7">
        <v>19.6204</v>
      </c>
      <c r="J858" s="7">
        <v>20.4844</v>
      </c>
      <c r="K858" s="7"/>
      <c r="L858" s="7"/>
      <c r="M858" s="7"/>
      <c r="N858" s="7">
        <v>18.794</v>
      </c>
      <c r="O858" s="8">
        <v>14.6197</v>
      </c>
      <c r="P858" s="7">
        <v>10.8447</v>
      </c>
      <c r="Q858" s="7">
        <v>10.8447</v>
      </c>
      <c r="R858" s="7">
        <v>10.8447</v>
      </c>
      <c r="S858" s="8">
        <v>10.8447</v>
      </c>
    </row>
    <row r="859" spans="1:19" s="12" customFormat="1" ht="16.5" customHeight="1">
      <c r="A859" s="3"/>
      <c r="B859" s="4" t="s">
        <v>13</v>
      </c>
      <c r="C859" s="56">
        <f>(C854*2+C855*7+C856*7+C857*7+C858*7)/30</f>
        <v>19.878596666666667</v>
      </c>
      <c r="D859" s="11"/>
      <c r="E859" s="11">
        <f aca="true" t="shared" si="122" ref="E859:S859">(E854*2+E855*7+E856*7+E857*7+E858*7)/30</f>
        <v>20.91302</v>
      </c>
      <c r="F859" s="11">
        <f t="shared" si="122"/>
        <v>21.856373333333334</v>
      </c>
      <c r="G859" s="11">
        <f t="shared" si="122"/>
        <v>27.08777666666667</v>
      </c>
      <c r="H859" s="11">
        <f t="shared" si="122"/>
        <v>20.685193333333334</v>
      </c>
      <c r="I859" s="11">
        <f t="shared" si="122"/>
        <v>20.361833333333333</v>
      </c>
      <c r="J859" s="11">
        <f t="shared" si="122"/>
        <v>20.92474666666667</v>
      </c>
      <c r="K859" s="11"/>
      <c r="L859" s="11"/>
      <c r="M859" s="11"/>
      <c r="N859" s="11">
        <f t="shared" si="122"/>
        <v>19.403993333333332</v>
      </c>
      <c r="O859" s="38">
        <f t="shared" si="122"/>
        <v>15.093936666666668</v>
      </c>
      <c r="P859" s="11">
        <f t="shared" si="122"/>
        <v>10.844699999999998</v>
      </c>
      <c r="Q859" s="11">
        <f t="shared" si="122"/>
        <v>10.844699999999998</v>
      </c>
      <c r="R859" s="48">
        <f>(R854*2+R855*7+R856*7+R857*7+R858*7)/30</f>
        <v>10.844699999999998</v>
      </c>
      <c r="S859" s="38">
        <f t="shared" si="122"/>
        <v>10.844699999999998</v>
      </c>
    </row>
    <row r="860" spans="1:19" s="12" customFormat="1" ht="16.5" customHeight="1">
      <c r="A860" s="3"/>
      <c r="B860" s="13" t="s">
        <v>40</v>
      </c>
      <c r="C860" s="7">
        <v>17.6587</v>
      </c>
      <c r="D860" s="7"/>
      <c r="E860" s="7">
        <v>18.7847</v>
      </c>
      <c r="F860" s="7">
        <v>19.8193</v>
      </c>
      <c r="G860" s="7">
        <v>25.6413</v>
      </c>
      <c r="H860" s="14">
        <v>18.5566</v>
      </c>
      <c r="I860" s="7">
        <v>18.2318</v>
      </c>
      <c r="J860" s="7">
        <v>19.2725</v>
      </c>
      <c r="K860" s="7"/>
      <c r="L860" s="7"/>
      <c r="M860" s="7"/>
      <c r="N860" s="7">
        <v>17.4391</v>
      </c>
      <c r="O860" s="8">
        <v>13.4792</v>
      </c>
      <c r="P860" s="7">
        <v>10.9566</v>
      </c>
      <c r="Q860" s="7">
        <v>10.9566</v>
      </c>
      <c r="R860" s="7">
        <v>10.9566</v>
      </c>
      <c r="S860" s="8">
        <v>10.9566</v>
      </c>
    </row>
    <row r="861" spans="1:19" s="12" customFormat="1" ht="16.5" customHeight="1">
      <c r="A861" s="3"/>
      <c r="B861" s="13" t="s">
        <v>42</v>
      </c>
      <c r="C861" s="7">
        <v>16.3406</v>
      </c>
      <c r="D861" s="7"/>
      <c r="E861" s="7">
        <v>17.5986</v>
      </c>
      <c r="F861" s="7">
        <v>18.7652</v>
      </c>
      <c r="G861" s="7">
        <v>25.4436</v>
      </c>
      <c r="H861" s="14">
        <v>17.3714</v>
      </c>
      <c r="I861" s="7">
        <v>17.1481</v>
      </c>
      <c r="J861" s="7">
        <v>18.3738</v>
      </c>
      <c r="K861" s="7"/>
      <c r="L861" s="7"/>
      <c r="M861" s="7"/>
      <c r="N861" s="7">
        <v>16.4824</v>
      </c>
      <c r="O861" s="8">
        <v>12.379</v>
      </c>
      <c r="P861" s="7">
        <v>10.9566</v>
      </c>
      <c r="Q861" s="7">
        <v>10.9566</v>
      </c>
      <c r="R861" s="7">
        <v>10.9566</v>
      </c>
      <c r="S861" s="8">
        <v>10.9566</v>
      </c>
    </row>
    <row r="862" spans="1:19" s="12" customFormat="1" ht="16.5" customHeight="1">
      <c r="A862" s="3"/>
      <c r="B862" s="13" t="s">
        <v>43</v>
      </c>
      <c r="C862" s="7">
        <v>15.3174</v>
      </c>
      <c r="D862" s="7"/>
      <c r="E862" s="7">
        <v>16.6777</v>
      </c>
      <c r="F862" s="7">
        <v>17.9466</v>
      </c>
      <c r="G862" s="7">
        <v>25.2901</v>
      </c>
      <c r="H862" s="14">
        <v>16.4511</v>
      </c>
      <c r="I862" s="7">
        <v>16.0237</v>
      </c>
      <c r="J862" s="7">
        <v>17.3365</v>
      </c>
      <c r="K862" s="7"/>
      <c r="L862" s="7"/>
      <c r="M862" s="7"/>
      <c r="N862" s="7">
        <v>15.4056</v>
      </c>
      <c r="O862" s="8">
        <v>11.1263</v>
      </c>
      <c r="P862" s="7">
        <v>10.9566</v>
      </c>
      <c r="Q862" s="7">
        <v>10.9566</v>
      </c>
      <c r="R862" s="7">
        <v>10.9566</v>
      </c>
      <c r="S862" s="8">
        <v>10.9566</v>
      </c>
    </row>
    <row r="863" spans="1:19" s="12" customFormat="1" ht="16.5" customHeight="1">
      <c r="A863" s="3"/>
      <c r="B863" s="13" t="s">
        <v>44</v>
      </c>
      <c r="C863" s="7">
        <v>15.4266</v>
      </c>
      <c r="D863" s="7"/>
      <c r="E863" s="7">
        <v>16.7759</v>
      </c>
      <c r="F863" s="7">
        <v>18.0338</v>
      </c>
      <c r="G863" s="7">
        <v>25.3065</v>
      </c>
      <c r="H863" s="14">
        <v>16.5493</v>
      </c>
      <c r="I863" s="7">
        <v>15.9154</v>
      </c>
      <c r="J863" s="7">
        <v>17.1629</v>
      </c>
      <c r="K863" s="7"/>
      <c r="L863" s="7"/>
      <c r="M863" s="7"/>
      <c r="N863" s="7">
        <v>15.2596</v>
      </c>
      <c r="O863" s="8">
        <v>13.4792</v>
      </c>
      <c r="P863" s="7">
        <v>10.9566</v>
      </c>
      <c r="Q863" s="7">
        <v>10.9566</v>
      </c>
      <c r="R863" s="7">
        <v>10.9566</v>
      </c>
      <c r="S863" s="8">
        <v>10.9566</v>
      </c>
    </row>
    <row r="864" spans="1:19" s="12" customFormat="1" ht="16.5" customHeight="1">
      <c r="A864" s="3"/>
      <c r="B864" s="13" t="s">
        <v>45</v>
      </c>
      <c r="C864" s="7">
        <v>15.1662</v>
      </c>
      <c r="D864" s="7"/>
      <c r="E864" s="7">
        <v>16.5418</v>
      </c>
      <c r="F864" s="7">
        <v>17.8259</v>
      </c>
      <c r="G864" s="7">
        <v>25.2674</v>
      </c>
      <c r="H864" s="14">
        <v>16.3151</v>
      </c>
      <c r="I864" s="7">
        <v>15.579</v>
      </c>
      <c r="J864" s="7">
        <v>16.9687</v>
      </c>
      <c r="K864" s="7"/>
      <c r="L864" s="7"/>
      <c r="M864" s="7"/>
      <c r="N864" s="7">
        <v>15.0165</v>
      </c>
      <c r="O864" s="8">
        <v>10.9547</v>
      </c>
      <c r="P864" s="7">
        <v>10.9566</v>
      </c>
      <c r="Q864" s="7">
        <v>10.9566</v>
      </c>
      <c r="R864" s="7">
        <v>10.9566</v>
      </c>
      <c r="S864" s="8">
        <v>10.9566</v>
      </c>
    </row>
    <row r="865" spans="1:19" s="12" customFormat="1" ht="16.5" customHeight="1">
      <c r="A865" s="3"/>
      <c r="B865" s="4" t="s">
        <v>13</v>
      </c>
      <c r="C865" s="56">
        <f>(C860*7+C861*7+C862*7+C863*7+C864*3)/31</f>
        <v>16.087151612903227</v>
      </c>
      <c r="D865" s="11"/>
      <c r="E865" s="11">
        <f aca="true" t="shared" si="123" ref="E865:S865">(E860*7+E861*7+E862*7+E863*7+E864*3)/31</f>
        <v>17.37044193548387</v>
      </c>
      <c r="F865" s="11">
        <f t="shared" si="123"/>
        <v>18.562322580645162</v>
      </c>
      <c r="G865" s="11">
        <f t="shared" si="123"/>
        <v>25.405570967741934</v>
      </c>
      <c r="H865" s="11">
        <f t="shared" si="123"/>
        <v>17.143358064516132</v>
      </c>
      <c r="I865" s="11">
        <f t="shared" si="123"/>
        <v>16.708709677419357</v>
      </c>
      <c r="J865" s="11">
        <f t="shared" si="123"/>
        <v>17.93309677419355</v>
      </c>
      <c r="K865" s="11"/>
      <c r="L865" s="11"/>
      <c r="M865" s="11"/>
      <c r="N865" s="11">
        <f t="shared" si="123"/>
        <v>16.03730322580645</v>
      </c>
      <c r="O865" s="38">
        <f t="shared" si="123"/>
        <v>12.45516129032258</v>
      </c>
      <c r="P865" s="11">
        <f t="shared" si="123"/>
        <v>10.9566</v>
      </c>
      <c r="Q865" s="11">
        <f t="shared" si="123"/>
        <v>10.9566</v>
      </c>
      <c r="R865" s="48">
        <f t="shared" si="123"/>
        <v>10.9566</v>
      </c>
      <c r="S865" s="38">
        <f t="shared" si="123"/>
        <v>10.9566</v>
      </c>
    </row>
    <row r="866" spans="1:19" s="12" customFormat="1" ht="16.5" customHeight="1">
      <c r="A866" s="20"/>
      <c r="B866" s="19">
        <v>2015</v>
      </c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39"/>
      <c r="P866" s="14"/>
      <c r="S866" s="15"/>
    </row>
    <row r="867" spans="1:19" s="12" customFormat="1" ht="16.5" customHeight="1">
      <c r="A867" s="3"/>
      <c r="B867" s="13" t="s">
        <v>212</v>
      </c>
      <c r="C867" s="7">
        <v>14.497</v>
      </c>
      <c r="D867" s="7"/>
      <c r="E867" s="7">
        <v>15.9297</v>
      </c>
      <c r="F867" s="7">
        <v>17.2708</v>
      </c>
      <c r="G867" s="7">
        <v>25.082</v>
      </c>
      <c r="H867" s="14">
        <v>15.703</v>
      </c>
      <c r="I867" s="7">
        <v>14.9447</v>
      </c>
      <c r="J867" s="7">
        <v>16.5741</v>
      </c>
      <c r="K867" s="7"/>
      <c r="L867" s="7"/>
      <c r="M867" s="7"/>
      <c r="N867" s="7">
        <v>14.5953</v>
      </c>
      <c r="O867" s="8">
        <v>10.4469</v>
      </c>
      <c r="P867" s="7">
        <v>10.9962</v>
      </c>
      <c r="Q867" s="7">
        <v>10.9962</v>
      </c>
      <c r="R867" s="7">
        <v>10.9962</v>
      </c>
      <c r="S867" s="8">
        <v>10.9962</v>
      </c>
    </row>
    <row r="868" spans="1:19" s="12" customFormat="1" ht="16.5" customHeight="1">
      <c r="A868" s="3"/>
      <c r="B868" s="13" t="s">
        <v>46</v>
      </c>
      <c r="C868" s="7">
        <v>13.5587</v>
      </c>
      <c r="D868" s="7"/>
      <c r="E868" s="7">
        <v>15.0851</v>
      </c>
      <c r="F868" s="7">
        <v>16.5199</v>
      </c>
      <c r="G868" s="7">
        <v>24.9413</v>
      </c>
      <c r="H868" s="14">
        <v>14.8589</v>
      </c>
      <c r="I868" s="7">
        <v>14.115</v>
      </c>
      <c r="J868" s="7">
        <v>15.8509</v>
      </c>
      <c r="K868" s="7"/>
      <c r="L868" s="7"/>
      <c r="M868" s="7"/>
      <c r="N868" s="7">
        <v>13.7774</v>
      </c>
      <c r="O868" s="8">
        <v>9.7348</v>
      </c>
      <c r="P868" s="7">
        <v>10.9962</v>
      </c>
      <c r="Q868" s="7">
        <v>10.9962</v>
      </c>
      <c r="R868" s="7">
        <v>10.9962</v>
      </c>
      <c r="S868" s="8">
        <v>10.9962</v>
      </c>
    </row>
    <row r="869" spans="1:19" s="12" customFormat="1" ht="16.5" customHeight="1">
      <c r="A869" s="3"/>
      <c r="B869" s="13" t="s">
        <v>47</v>
      </c>
      <c r="C869" s="7">
        <v>12.5493</v>
      </c>
      <c r="D869" s="7"/>
      <c r="E869" s="7">
        <v>14.1759</v>
      </c>
      <c r="F869" s="7">
        <v>15.7112</v>
      </c>
      <c r="G869" s="7">
        <v>24.7899</v>
      </c>
      <c r="H869" s="14">
        <v>13.951</v>
      </c>
      <c r="I869" s="7">
        <v>13.2196</v>
      </c>
      <c r="J869" s="7">
        <v>15.0151</v>
      </c>
      <c r="K869" s="7"/>
      <c r="L869" s="7"/>
      <c r="M869" s="7"/>
      <c r="N869" s="7">
        <v>12.7448</v>
      </c>
      <c r="O869" s="8">
        <v>9.3234</v>
      </c>
      <c r="P869" s="7">
        <v>10.9962</v>
      </c>
      <c r="Q869" s="7">
        <v>10.9962</v>
      </c>
      <c r="R869" s="7">
        <v>10.9962</v>
      </c>
      <c r="S869" s="8">
        <v>10.9962</v>
      </c>
    </row>
    <row r="870" spans="1:19" s="12" customFormat="1" ht="16.5" customHeight="1">
      <c r="A870" s="3"/>
      <c r="B870" s="13" t="s">
        <v>48</v>
      </c>
      <c r="C870" s="7">
        <v>12.7107</v>
      </c>
      <c r="D870" s="7"/>
      <c r="E870" s="7">
        <v>14.3201</v>
      </c>
      <c r="F870" s="7">
        <v>15.8389</v>
      </c>
      <c r="G870" s="7">
        <v>24.8141</v>
      </c>
      <c r="H870" s="14">
        <v>14.096</v>
      </c>
      <c r="I870" s="7">
        <v>13.1784</v>
      </c>
      <c r="J870" s="7">
        <v>14.5965</v>
      </c>
      <c r="K870" s="7"/>
      <c r="L870" s="7"/>
      <c r="M870" s="7"/>
      <c r="N870" s="7">
        <v>12.579</v>
      </c>
      <c r="O870" s="8">
        <v>9.3874</v>
      </c>
      <c r="P870" s="7">
        <v>10.9962</v>
      </c>
      <c r="Q870" s="7">
        <v>10.9962</v>
      </c>
      <c r="R870" s="7">
        <v>10.9962</v>
      </c>
      <c r="S870" s="8">
        <v>10.9962</v>
      </c>
    </row>
    <row r="871" spans="1:19" s="12" customFormat="1" ht="16.5" customHeight="1">
      <c r="A871" s="3"/>
      <c r="B871" s="13" t="s">
        <v>49</v>
      </c>
      <c r="C871" s="7">
        <v>12.7547</v>
      </c>
      <c r="D871" s="7"/>
      <c r="E871" s="7">
        <v>14.3596</v>
      </c>
      <c r="F871" s="7">
        <v>15.8738</v>
      </c>
      <c r="G871" s="7">
        <v>24.8207</v>
      </c>
      <c r="H871" s="14">
        <v>14.1354</v>
      </c>
      <c r="I871" s="7">
        <v>13.2831</v>
      </c>
      <c r="J871" s="7">
        <v>14.2628</v>
      </c>
      <c r="K871" s="7"/>
      <c r="L871" s="7"/>
      <c r="M871" s="7"/>
      <c r="N871" s="7">
        <v>12.5128</v>
      </c>
      <c r="O871" s="8">
        <v>9.5379</v>
      </c>
      <c r="P871" s="7">
        <v>10.9962</v>
      </c>
      <c r="Q871" s="7">
        <v>10.9962</v>
      </c>
      <c r="R871" s="7">
        <v>10.9962</v>
      </c>
      <c r="S871" s="8">
        <v>10.9962</v>
      </c>
    </row>
    <row r="872" spans="1:19" s="12" customFormat="1" ht="16.5" customHeight="1">
      <c r="A872" s="3"/>
      <c r="B872" s="4" t="s">
        <v>13</v>
      </c>
      <c r="C872" s="56">
        <f>(C867*4+C868*7+C869*7+C870*7+C871*6)/31</f>
        <v>13.104745161290321</v>
      </c>
      <c r="D872" s="11"/>
      <c r="E872" s="11">
        <f aca="true" t="shared" si="124" ref="E872:S872">(E867*4+E868*7+E869*7+E870*7+E871*6)/31</f>
        <v>14.675616129032258</v>
      </c>
      <c r="F872" s="11">
        <f t="shared" si="124"/>
        <v>16.155354838709677</v>
      </c>
      <c r="G872" s="11">
        <f t="shared" si="124"/>
        <v>24.873203225806456</v>
      </c>
      <c r="H872" s="11">
        <f t="shared" si="124"/>
        <v>14.450506451612906</v>
      </c>
      <c r="I872" s="11">
        <f t="shared" si="124"/>
        <v>13.647367741935485</v>
      </c>
      <c r="J872" s="11">
        <f t="shared" si="124"/>
        <v>15.16486129032258</v>
      </c>
      <c r="K872" s="11"/>
      <c r="L872" s="11"/>
      <c r="M872" s="11"/>
      <c r="N872" s="11">
        <f t="shared" si="124"/>
        <v>13.134400000000001</v>
      </c>
      <c r="O872" s="38">
        <f t="shared" si="124"/>
        <v>9.617232258064515</v>
      </c>
      <c r="P872" s="11">
        <f>(P867*4+P868*7+P869*7+P870*7+P871*6)/31</f>
        <v>10.996199999999998</v>
      </c>
      <c r="Q872" s="11">
        <f t="shared" si="124"/>
        <v>10.996199999999998</v>
      </c>
      <c r="R872" s="48">
        <f>(R867*4+R868*7+R869*7+R870*7+R871*6)/31</f>
        <v>10.996199999999998</v>
      </c>
      <c r="S872" s="38">
        <f t="shared" si="124"/>
        <v>10.996199999999998</v>
      </c>
    </row>
    <row r="873" spans="1:19" s="12" customFormat="1" ht="16.5" customHeight="1">
      <c r="A873" s="3"/>
      <c r="B873" s="13" t="s">
        <v>221</v>
      </c>
      <c r="C873" s="7">
        <v>13.1056</v>
      </c>
      <c r="D873" s="7"/>
      <c r="E873" s="7">
        <v>14.8021</v>
      </c>
      <c r="F873" s="7">
        <v>16.4076</v>
      </c>
      <c r="G873" s="7">
        <v>25.9443</v>
      </c>
      <c r="H873" s="14">
        <v>14.577</v>
      </c>
      <c r="I873" s="7">
        <v>13.416</v>
      </c>
      <c r="J873" s="7">
        <v>14.2387</v>
      </c>
      <c r="K873" s="7"/>
      <c r="L873" s="7"/>
      <c r="M873" s="7"/>
      <c r="N873" s="7">
        <v>12.4844</v>
      </c>
      <c r="O873" s="8">
        <v>9.6537</v>
      </c>
      <c r="P873" s="7">
        <v>10.9962</v>
      </c>
      <c r="Q873" s="7">
        <v>10.9962</v>
      </c>
      <c r="R873" s="7">
        <v>10.9962</v>
      </c>
      <c r="S873" s="8">
        <v>10.9962</v>
      </c>
    </row>
    <row r="874" spans="1:19" s="12" customFormat="1" ht="16.5" customHeight="1">
      <c r="A874" s="3"/>
      <c r="B874" s="13" t="s">
        <v>288</v>
      </c>
      <c r="C874" s="7">
        <v>14.3097</v>
      </c>
      <c r="D874" s="7"/>
      <c r="E874" s="7">
        <v>15.8851</v>
      </c>
      <c r="F874" s="7">
        <v>17.3699</v>
      </c>
      <c r="G874" s="7">
        <v>26.1249</v>
      </c>
      <c r="H874" s="14">
        <v>15.6603</v>
      </c>
      <c r="I874" s="7">
        <v>14.1048</v>
      </c>
      <c r="J874" s="7">
        <v>15.1752</v>
      </c>
      <c r="K874" s="7"/>
      <c r="L874" s="7"/>
      <c r="M874" s="7"/>
      <c r="N874" s="7">
        <v>13.4643</v>
      </c>
      <c r="O874" s="8">
        <v>10.6439</v>
      </c>
      <c r="P874" s="7">
        <v>16.3978</v>
      </c>
      <c r="Q874" s="7">
        <v>16.3978</v>
      </c>
      <c r="R874" s="7">
        <v>16.3978</v>
      </c>
      <c r="S874" s="8">
        <v>16.3978</v>
      </c>
    </row>
    <row r="875" spans="1:19" s="12" customFormat="1" ht="16.5" customHeight="1">
      <c r="A875" s="3"/>
      <c r="B875" s="13" t="s">
        <v>289</v>
      </c>
      <c r="C875" s="7">
        <v>15.2269</v>
      </c>
      <c r="D875" s="7"/>
      <c r="E875" s="7">
        <v>16.7107</v>
      </c>
      <c r="F875" s="7">
        <v>18.1039</v>
      </c>
      <c r="G875" s="7">
        <v>26.2625</v>
      </c>
      <c r="H875" s="14">
        <v>16.4854</v>
      </c>
      <c r="I875" s="7">
        <v>15.2406</v>
      </c>
      <c r="J875" s="7">
        <v>16.2016</v>
      </c>
      <c r="K875" s="7"/>
      <c r="L875" s="7"/>
      <c r="M875" s="7"/>
      <c r="N875" s="7">
        <v>14.5053</v>
      </c>
      <c r="O875" s="8">
        <v>11.4829</v>
      </c>
      <c r="P875" s="7">
        <v>16.3978</v>
      </c>
      <c r="Q875" s="7">
        <v>16.3978</v>
      </c>
      <c r="R875" s="7">
        <v>16.3978</v>
      </c>
      <c r="S875" s="8">
        <v>16.3978</v>
      </c>
    </row>
    <row r="876" spans="1:19" s="12" customFormat="1" ht="16.5" customHeight="1">
      <c r="A876" s="3"/>
      <c r="B876" s="13" t="s">
        <v>290</v>
      </c>
      <c r="C876" s="7">
        <v>15.9866</v>
      </c>
      <c r="D876" s="7"/>
      <c r="E876" s="7">
        <v>17.3942</v>
      </c>
      <c r="F876" s="7">
        <v>18.7113</v>
      </c>
      <c r="G876" s="7">
        <v>26.3765</v>
      </c>
      <c r="H876" s="14">
        <v>17.1684</v>
      </c>
      <c r="I876" s="7">
        <v>16.0228</v>
      </c>
      <c r="J876" s="7">
        <v>16.8662</v>
      </c>
      <c r="K876" s="7"/>
      <c r="L876" s="7"/>
      <c r="M876" s="7"/>
      <c r="N876" s="7">
        <v>15.1743</v>
      </c>
      <c r="O876" s="8">
        <v>12.1885</v>
      </c>
      <c r="P876" s="7">
        <v>16.3978</v>
      </c>
      <c r="Q876" s="7">
        <v>16.3978</v>
      </c>
      <c r="R876" s="7">
        <v>16.3978</v>
      </c>
      <c r="S876" s="8">
        <v>16.3978</v>
      </c>
    </row>
    <row r="877" spans="1:19" s="12" customFormat="1" ht="16.5" customHeight="1">
      <c r="A877" s="3"/>
      <c r="B877" s="13" t="s">
        <v>291</v>
      </c>
      <c r="C877" s="7">
        <v>16.0242</v>
      </c>
      <c r="D877" s="7"/>
      <c r="E877" s="7">
        <v>17.4277</v>
      </c>
      <c r="F877" s="7">
        <v>18.7408</v>
      </c>
      <c r="G877" s="7">
        <v>26.3821</v>
      </c>
      <c r="H877" s="14">
        <v>17.2022</v>
      </c>
      <c r="I877" s="7">
        <v>15.6474</v>
      </c>
      <c r="J877" s="7">
        <v>16.6332</v>
      </c>
      <c r="K877" s="7"/>
      <c r="L877" s="7"/>
      <c r="M877" s="7"/>
      <c r="N877" s="7">
        <v>14.9416</v>
      </c>
      <c r="O877" s="8">
        <v>11.7403</v>
      </c>
      <c r="P877" s="7">
        <v>16.3978</v>
      </c>
      <c r="Q877" s="7">
        <v>16.3978</v>
      </c>
      <c r="R877" s="7">
        <v>16.3978</v>
      </c>
      <c r="S877" s="8">
        <v>16.3978</v>
      </c>
    </row>
    <row r="878" spans="1:19" s="12" customFormat="1" ht="16.5" customHeight="1">
      <c r="A878" s="3"/>
      <c r="B878" s="4" t="s">
        <v>13</v>
      </c>
      <c r="C878" s="56">
        <f>(C873*1+C874*7+C875*7+C876*7+C877*6)/28</f>
        <v>15.282614285714287</v>
      </c>
      <c r="D878" s="11"/>
      <c r="E878" s="11">
        <f aca="true" t="shared" si="125" ref="E878:S878">(E873*1+E874*7+E875*7+E876*7+E877*6)/28</f>
        <v>16.760653571428573</v>
      </c>
      <c r="F878" s="11">
        <f t="shared" si="125"/>
        <v>18.14814642857143</v>
      </c>
      <c r="G878" s="11">
        <f t="shared" si="125"/>
        <v>26.270864285714286</v>
      </c>
      <c r="H878" s="11">
        <f t="shared" si="125"/>
        <v>16.535317857142854</v>
      </c>
      <c r="I878" s="11">
        <f t="shared" si="125"/>
        <v>15.174207142857142</v>
      </c>
      <c r="J878" s="11">
        <f t="shared" si="125"/>
        <v>16.133532142857142</v>
      </c>
      <c r="K878" s="11"/>
      <c r="L878" s="11"/>
      <c r="M878" s="11"/>
      <c r="N878" s="11">
        <f t="shared" si="125"/>
        <v>14.433617857142858</v>
      </c>
      <c r="O878" s="38">
        <f t="shared" si="125"/>
        <v>11.439378571428572</v>
      </c>
      <c r="P878" s="11">
        <f t="shared" si="125"/>
        <v>16.204885714285716</v>
      </c>
      <c r="Q878" s="11">
        <f t="shared" si="125"/>
        <v>16.204885714285716</v>
      </c>
      <c r="R878" s="48">
        <f t="shared" si="125"/>
        <v>16.204885714285716</v>
      </c>
      <c r="S878" s="38">
        <f t="shared" si="125"/>
        <v>16.204885714285716</v>
      </c>
    </row>
    <row r="879" spans="1:19" s="12" customFormat="1" ht="16.5" customHeight="1">
      <c r="A879" s="3"/>
      <c r="B879" s="13" t="s">
        <v>54</v>
      </c>
      <c r="C879" s="7">
        <v>16.6129</v>
      </c>
      <c r="D879" s="7"/>
      <c r="E879" s="7">
        <v>17.8777</v>
      </c>
      <c r="F879" s="7">
        <v>19.0525</v>
      </c>
      <c r="G879" s="7">
        <v>25.7989</v>
      </c>
      <c r="H879" s="14">
        <v>17.653</v>
      </c>
      <c r="I879" s="7">
        <v>15.7502</v>
      </c>
      <c r="J879" s="7">
        <v>16.8832</v>
      </c>
      <c r="K879" s="7"/>
      <c r="L879" s="7"/>
      <c r="M879" s="7"/>
      <c r="N879" s="7">
        <v>15.2049</v>
      </c>
      <c r="O879" s="8">
        <v>11.9547</v>
      </c>
      <c r="P879" s="7">
        <v>16.3978</v>
      </c>
      <c r="Q879" s="7">
        <v>16.3978</v>
      </c>
      <c r="R879" s="7">
        <v>16.3978</v>
      </c>
      <c r="S879" s="8">
        <v>16.3978</v>
      </c>
    </row>
    <row r="880" spans="1:19" s="12" customFormat="1" ht="16.5" customHeight="1">
      <c r="A880" s="3"/>
      <c r="B880" s="13" t="s">
        <v>292</v>
      </c>
      <c r="C880" s="7">
        <v>16.6879</v>
      </c>
      <c r="D880" s="7"/>
      <c r="E880" s="7">
        <v>17.9453</v>
      </c>
      <c r="F880" s="7">
        <v>19.1126</v>
      </c>
      <c r="G880" s="7">
        <v>25.8102</v>
      </c>
      <c r="H880" s="14">
        <v>17.7206</v>
      </c>
      <c r="I880" s="7">
        <v>15.5384</v>
      </c>
      <c r="J880" s="7">
        <v>16.8471</v>
      </c>
      <c r="K880" s="7"/>
      <c r="L880" s="7"/>
      <c r="M880" s="7"/>
      <c r="N880" s="7">
        <v>15.2101</v>
      </c>
      <c r="O880" s="8">
        <v>11.6741</v>
      </c>
      <c r="P880" s="7">
        <v>16.3978</v>
      </c>
      <c r="Q880" s="7">
        <v>16.3978</v>
      </c>
      <c r="R880" s="7">
        <v>16.3978</v>
      </c>
      <c r="S880" s="8">
        <v>16.3978</v>
      </c>
    </row>
    <row r="881" spans="1:19" s="12" customFormat="1" ht="16.5" customHeight="1">
      <c r="A881" s="3"/>
      <c r="B881" s="13" t="s">
        <v>293</v>
      </c>
      <c r="C881" s="7">
        <v>16.5333</v>
      </c>
      <c r="D881" s="7"/>
      <c r="E881" s="7">
        <v>17.8079</v>
      </c>
      <c r="F881" s="7">
        <v>18.9916</v>
      </c>
      <c r="G881" s="7">
        <v>25.787</v>
      </c>
      <c r="H881" s="14">
        <v>17.5805</v>
      </c>
      <c r="I881" s="7">
        <v>14.9525</v>
      </c>
      <c r="J881" s="7">
        <v>16.3538</v>
      </c>
      <c r="K881" s="7"/>
      <c r="L881" s="7"/>
      <c r="M881" s="7"/>
      <c r="N881" s="7">
        <v>14.8322</v>
      </c>
      <c r="O881" s="8">
        <v>11.1382</v>
      </c>
      <c r="P881" s="7">
        <v>16.5624</v>
      </c>
      <c r="Q881" s="7">
        <v>16.5624</v>
      </c>
      <c r="R881" s="7">
        <v>16.5624</v>
      </c>
      <c r="S881" s="8">
        <v>16.5624</v>
      </c>
    </row>
    <row r="882" spans="1:19" s="12" customFormat="1" ht="16.5" customHeight="1">
      <c r="A882" s="3"/>
      <c r="B882" s="13" t="s">
        <v>294</v>
      </c>
      <c r="C882" s="7">
        <v>15.7416</v>
      </c>
      <c r="D882" s="7"/>
      <c r="E882" s="7">
        <v>17.096</v>
      </c>
      <c r="F882" s="7">
        <v>18.3593</v>
      </c>
      <c r="G882" s="7">
        <v>25.6682</v>
      </c>
      <c r="H882" s="14">
        <v>16.868</v>
      </c>
      <c r="I882" s="7">
        <v>14.287</v>
      </c>
      <c r="J882" s="7">
        <v>15.6616</v>
      </c>
      <c r="K882" s="7"/>
      <c r="L882" s="7"/>
      <c r="M882" s="7"/>
      <c r="N882" s="7">
        <v>14.1365</v>
      </c>
      <c r="O882" s="8">
        <v>10.5227</v>
      </c>
      <c r="P882" s="7">
        <v>16.5898</v>
      </c>
      <c r="Q882" s="7">
        <v>16.5898</v>
      </c>
      <c r="R882" s="7">
        <v>16.5898</v>
      </c>
      <c r="S882" s="8">
        <v>16.5898</v>
      </c>
    </row>
    <row r="883" spans="1:19" s="12" customFormat="1" ht="16.5" customHeight="1">
      <c r="A883" s="3"/>
      <c r="B883" s="13" t="s">
        <v>295</v>
      </c>
      <c r="C883" s="7">
        <v>16.1107</v>
      </c>
      <c r="D883" s="7"/>
      <c r="E883" s="7">
        <v>17.427</v>
      </c>
      <c r="F883" s="7">
        <v>18.6526</v>
      </c>
      <c r="G883" s="7">
        <v>25.7236</v>
      </c>
      <c r="H883" s="14">
        <v>17.2003</v>
      </c>
      <c r="I883" s="7">
        <v>14.4728</v>
      </c>
      <c r="J883" s="7">
        <v>15.6659</v>
      </c>
      <c r="K883" s="7"/>
      <c r="L883" s="7"/>
      <c r="M883" s="7"/>
      <c r="N883" s="7">
        <v>14.2006</v>
      </c>
      <c r="O883" s="8">
        <v>10.7138</v>
      </c>
      <c r="P883" s="7">
        <v>16.5898</v>
      </c>
      <c r="Q883" s="7">
        <v>16.5898</v>
      </c>
      <c r="R883" s="7">
        <v>16.5898</v>
      </c>
      <c r="S883" s="8">
        <v>16.5898</v>
      </c>
    </row>
    <row r="884" spans="1:19" s="12" customFormat="1" ht="16.5" customHeight="1">
      <c r="A884" s="3"/>
      <c r="B884" s="13" t="s">
        <v>296</v>
      </c>
      <c r="C884" s="7">
        <v>16.4568</v>
      </c>
      <c r="D884" s="7"/>
      <c r="E884" s="7">
        <v>17.7385</v>
      </c>
      <c r="F884" s="7">
        <v>18.9296</v>
      </c>
      <c r="G884" s="7">
        <v>25.7755</v>
      </c>
      <c r="H884" s="14">
        <v>17.5116</v>
      </c>
      <c r="I884" s="7">
        <v>16.1157</v>
      </c>
      <c r="J884" s="7">
        <v>15.835</v>
      </c>
      <c r="K884" s="7"/>
      <c r="L884" s="7"/>
      <c r="M884" s="7"/>
      <c r="N884" s="7">
        <v>14.4332</v>
      </c>
      <c r="O884" s="8">
        <v>11.0169</v>
      </c>
      <c r="P884" s="7">
        <v>16.5898</v>
      </c>
      <c r="Q884" s="7">
        <v>16.5898</v>
      </c>
      <c r="R884" s="7">
        <v>16.5898</v>
      </c>
      <c r="S884" s="8">
        <v>16.5898</v>
      </c>
    </row>
    <row r="885" spans="1:19" s="12" customFormat="1" ht="16.5" customHeight="1">
      <c r="A885" s="3"/>
      <c r="B885" s="4" t="s">
        <v>13</v>
      </c>
      <c r="C885" s="56">
        <f>(C879*1+C880*7+C881*7+C882*7+C883*7+C884*2)/31</f>
        <v>16.291645161290326</v>
      </c>
      <c r="D885" s="11"/>
      <c r="E885" s="11">
        <f aca="true" t="shared" si="126" ref="E885:S885">(E879*1+E880*7+E881*7+E882*7+E883*7+E884*2)/31</f>
        <v>17.58993870967742</v>
      </c>
      <c r="F885" s="11">
        <f t="shared" si="126"/>
        <v>18.79756129032258</v>
      </c>
      <c r="G885" s="11">
        <f t="shared" si="126"/>
        <v>25.75073870967742</v>
      </c>
      <c r="H885" s="11">
        <f t="shared" si="126"/>
        <v>17.363290322580646</v>
      </c>
      <c r="I885" s="11">
        <f t="shared" si="126"/>
        <v>14.926983870967742</v>
      </c>
      <c r="J885" s="11">
        <f t="shared" si="126"/>
        <v>16.13716129032258</v>
      </c>
      <c r="K885" s="11"/>
      <c r="L885" s="11"/>
      <c r="M885" s="11"/>
      <c r="N885" s="11">
        <f t="shared" si="126"/>
        <v>14.6041</v>
      </c>
      <c r="O885" s="38">
        <f t="shared" si="126"/>
        <v>11.042906451612904</v>
      </c>
      <c r="P885" s="11">
        <f t="shared" si="126"/>
        <v>16.534064516129032</v>
      </c>
      <c r="Q885" s="11">
        <f t="shared" si="126"/>
        <v>16.534064516129032</v>
      </c>
      <c r="R885" s="48">
        <f t="shared" si="126"/>
        <v>16.534064516129032</v>
      </c>
      <c r="S885" s="38">
        <f t="shared" si="126"/>
        <v>16.534064516129032</v>
      </c>
    </row>
    <row r="886" spans="1:19" s="12" customFormat="1" ht="16.5" customHeight="1">
      <c r="A886" s="3"/>
      <c r="B886" s="13" t="s">
        <v>226</v>
      </c>
      <c r="C886" s="7">
        <v>15.5809</v>
      </c>
      <c r="D886" s="7"/>
      <c r="E886" s="7">
        <v>16.7635</v>
      </c>
      <c r="F886" s="7">
        <v>17.8559</v>
      </c>
      <c r="G886" s="7">
        <v>24.0631</v>
      </c>
      <c r="H886" s="14">
        <v>16.5377</v>
      </c>
      <c r="I886" s="7">
        <v>14.3337</v>
      </c>
      <c r="J886" s="7">
        <v>15.5101</v>
      </c>
      <c r="K886" s="7"/>
      <c r="L886" s="7"/>
      <c r="M886" s="7"/>
      <c r="N886" s="7">
        <v>14.0992</v>
      </c>
      <c r="O886" s="8">
        <v>10.6827</v>
      </c>
      <c r="P886" s="7">
        <v>16.4397</v>
      </c>
      <c r="Q886" s="7">
        <v>16.4397</v>
      </c>
      <c r="R886" s="7">
        <v>16.4397</v>
      </c>
      <c r="S886" s="8">
        <v>16.4397</v>
      </c>
    </row>
    <row r="887" spans="1:19" s="12" customFormat="1" ht="16.5" customHeight="1">
      <c r="A887" s="3"/>
      <c r="B887" s="13" t="s">
        <v>297</v>
      </c>
      <c r="C887" s="7">
        <v>15.4723</v>
      </c>
      <c r="D887" s="7"/>
      <c r="E887" s="7">
        <v>16.6661</v>
      </c>
      <c r="F887" s="7">
        <v>17.7694</v>
      </c>
      <c r="G887" s="7">
        <v>24.0468</v>
      </c>
      <c r="H887" s="14">
        <v>16.4402</v>
      </c>
      <c r="I887" s="7">
        <v>14.4533</v>
      </c>
      <c r="J887" s="7">
        <v>15.5918</v>
      </c>
      <c r="K887" s="7"/>
      <c r="L887" s="7"/>
      <c r="M887" s="7"/>
      <c r="N887" s="7">
        <v>14.1744</v>
      </c>
      <c r="O887" s="8">
        <v>10.9341</v>
      </c>
      <c r="P887" s="7">
        <v>16.2145</v>
      </c>
      <c r="Q887" s="7">
        <v>16.2145</v>
      </c>
      <c r="R887" s="7">
        <v>16.2145</v>
      </c>
      <c r="S887" s="8">
        <v>16.2145</v>
      </c>
    </row>
    <row r="888" spans="1:19" s="12" customFormat="1" ht="16.5" customHeight="1">
      <c r="A888" s="3"/>
      <c r="B888" s="13" t="s">
        <v>298</v>
      </c>
      <c r="C888" s="7">
        <v>16.2287</v>
      </c>
      <c r="D888" s="7"/>
      <c r="E888" s="7">
        <v>17.3466</v>
      </c>
      <c r="F888" s="7">
        <v>18.3742</v>
      </c>
      <c r="G888" s="7">
        <v>24.1603</v>
      </c>
      <c r="H888" s="14">
        <v>17.1212</v>
      </c>
      <c r="I888" s="7">
        <v>14.9606</v>
      </c>
      <c r="J888" s="7">
        <v>16.2164</v>
      </c>
      <c r="K888" s="7"/>
      <c r="L888" s="7"/>
      <c r="M888" s="7"/>
      <c r="N888" s="7">
        <v>14.6358</v>
      </c>
      <c r="O888" s="8">
        <v>11.487</v>
      </c>
      <c r="P888" s="7">
        <v>16.2145</v>
      </c>
      <c r="Q888" s="7">
        <v>16.2145</v>
      </c>
      <c r="R888" s="7">
        <v>16.2145</v>
      </c>
      <c r="S888" s="8">
        <v>16.2145</v>
      </c>
    </row>
    <row r="889" spans="1:19" s="12" customFormat="1" ht="16.5" customHeight="1">
      <c r="A889" s="3"/>
      <c r="B889" s="13" t="s">
        <v>299</v>
      </c>
      <c r="C889" s="7">
        <v>16.8644</v>
      </c>
      <c r="D889" s="7"/>
      <c r="E889" s="7">
        <v>17.9182</v>
      </c>
      <c r="F889" s="7">
        <v>18.882</v>
      </c>
      <c r="G889" s="7">
        <v>24.2557</v>
      </c>
      <c r="H889" s="14">
        <v>17.6932</v>
      </c>
      <c r="I889" s="7">
        <v>15.396</v>
      </c>
      <c r="J889" s="7">
        <v>16.7017</v>
      </c>
      <c r="K889" s="7"/>
      <c r="L889" s="7"/>
      <c r="M889" s="7"/>
      <c r="N889" s="7">
        <v>15.008</v>
      </c>
      <c r="O889" s="8">
        <v>11.8127</v>
      </c>
      <c r="P889" s="7">
        <v>16.2145</v>
      </c>
      <c r="Q889" s="7">
        <v>16.2145</v>
      </c>
      <c r="R889" s="7">
        <v>16.2145</v>
      </c>
      <c r="S889" s="8">
        <v>16.2145</v>
      </c>
    </row>
    <row r="890" spans="1:19" s="12" customFormat="1" ht="16.5" customHeight="1">
      <c r="A890" s="3"/>
      <c r="B890" s="13" t="s">
        <v>300</v>
      </c>
      <c r="C890" s="7">
        <v>17.7086</v>
      </c>
      <c r="D890" s="7"/>
      <c r="E890" s="7">
        <v>18.6791</v>
      </c>
      <c r="F890" s="7">
        <v>19.5589</v>
      </c>
      <c r="G890" s="7">
        <v>24.3823</v>
      </c>
      <c r="H890" s="14">
        <v>18.4525</v>
      </c>
      <c r="I890" s="7">
        <v>15.7522</v>
      </c>
      <c r="J890" s="7">
        <v>17.0884</v>
      </c>
      <c r="K890" s="7"/>
      <c r="L890" s="7"/>
      <c r="M890" s="7"/>
      <c r="N890" s="7">
        <v>15.4287</v>
      </c>
      <c r="O890" s="8">
        <v>12.1615</v>
      </c>
      <c r="P890" s="7">
        <v>16.2145</v>
      </c>
      <c r="Q890" s="7">
        <v>16.2145</v>
      </c>
      <c r="R890" s="7">
        <v>16.2145</v>
      </c>
      <c r="S890" s="8">
        <v>16.2145</v>
      </c>
    </row>
    <row r="891" spans="1:19" s="12" customFormat="1" ht="16.5" customHeight="1">
      <c r="A891" s="3"/>
      <c r="B891" s="4" t="s">
        <v>13</v>
      </c>
      <c r="C891" s="56">
        <f>(C886*5+C887*7+C888*7+C889*7+C890*4)/30</f>
        <v>16.28989</v>
      </c>
      <c r="D891" s="11"/>
      <c r="E891" s="11">
        <f aca="true" t="shared" si="127" ref="E891:S891">(E886*5+E887*7+E888*7+E889*7+E890*4)/30</f>
        <v>17.40167333333333</v>
      </c>
      <c r="F891" s="11">
        <f t="shared" si="127"/>
        <v>18.423143333333332</v>
      </c>
      <c r="G891" s="11">
        <f t="shared" si="127"/>
        <v>24.169476666666664</v>
      </c>
      <c r="H891" s="11">
        <f t="shared" si="127"/>
        <v>17.176023333333333</v>
      </c>
      <c r="I891" s="11">
        <f t="shared" si="127"/>
        <v>14.944886666666665</v>
      </c>
      <c r="J891" s="11">
        <f t="shared" si="127"/>
        <v>16.182446666666667</v>
      </c>
      <c r="K891" s="11"/>
      <c r="L891" s="11"/>
      <c r="M891" s="11"/>
      <c r="N891" s="11">
        <f t="shared" si="127"/>
        <v>14.631273333333331</v>
      </c>
      <c r="O891" s="38">
        <f t="shared" si="127"/>
        <v>11.38987</v>
      </c>
      <c r="P891" s="11">
        <f t="shared" si="127"/>
        <v>16.252033333333333</v>
      </c>
      <c r="Q891" s="11">
        <f t="shared" si="127"/>
        <v>16.252033333333333</v>
      </c>
      <c r="R891" s="48">
        <f t="shared" si="127"/>
        <v>16.252033333333333</v>
      </c>
      <c r="S891" s="38">
        <f t="shared" si="127"/>
        <v>16.252033333333333</v>
      </c>
    </row>
    <row r="892" spans="1:19" s="12" customFormat="1" ht="16.5" customHeight="1">
      <c r="A892" s="3"/>
      <c r="B892" s="13" t="s">
        <v>230</v>
      </c>
      <c r="C892" s="7">
        <v>17.9355</v>
      </c>
      <c r="D892" s="7"/>
      <c r="E892" s="7">
        <v>18.9318</v>
      </c>
      <c r="F892" s="7">
        <v>19.8368</v>
      </c>
      <c r="G892" s="7">
        <v>24.8158</v>
      </c>
      <c r="H892" s="14">
        <v>18.7033</v>
      </c>
      <c r="I892" s="7">
        <v>16.0785</v>
      </c>
      <c r="J892" s="7">
        <v>17.4638</v>
      </c>
      <c r="K892" s="7"/>
      <c r="L892" s="7"/>
      <c r="M892" s="7"/>
      <c r="N892" s="7">
        <v>15.8209</v>
      </c>
      <c r="O892" s="8">
        <v>12.4918</v>
      </c>
      <c r="P892" s="7">
        <v>16.2145</v>
      </c>
      <c r="Q892" s="7">
        <v>16.2145</v>
      </c>
      <c r="R892" s="7">
        <v>16.2145</v>
      </c>
      <c r="S892" s="8">
        <v>16.2145</v>
      </c>
    </row>
    <row r="893" spans="1:19" s="12" customFormat="1" ht="16.5" customHeight="1">
      <c r="A893" s="3"/>
      <c r="B893" s="13" t="s">
        <v>301</v>
      </c>
      <c r="C893" s="7">
        <v>18.4037</v>
      </c>
      <c r="D893" s="7"/>
      <c r="E893" s="7">
        <v>19.3549</v>
      </c>
      <c r="F893" s="7">
        <v>20.2139</v>
      </c>
      <c r="G893" s="7">
        <v>24.8861</v>
      </c>
      <c r="H893" s="14">
        <v>19.1242</v>
      </c>
      <c r="I893" s="7">
        <v>16.8087</v>
      </c>
      <c r="J893" s="7">
        <v>18.0222</v>
      </c>
      <c r="K893" s="7"/>
      <c r="L893" s="7"/>
      <c r="M893" s="7"/>
      <c r="N893" s="7">
        <v>16.4362</v>
      </c>
      <c r="O893" s="8">
        <v>13.2206</v>
      </c>
      <c r="P893" s="7">
        <v>16.1741</v>
      </c>
      <c r="Q893" s="7">
        <v>16.1741</v>
      </c>
      <c r="R893" s="7">
        <v>16.1741</v>
      </c>
      <c r="S893" s="8">
        <v>16.1741</v>
      </c>
    </row>
    <row r="894" spans="1:19" s="12" customFormat="1" ht="16.5" customHeight="1">
      <c r="A894" s="3"/>
      <c r="B894" s="13" t="s">
        <v>302</v>
      </c>
      <c r="C894" s="7">
        <v>18.7221</v>
      </c>
      <c r="D894" s="7"/>
      <c r="E894" s="7">
        <v>19.6438</v>
      </c>
      <c r="F894" s="7">
        <v>20.4722</v>
      </c>
      <c r="G894" s="7">
        <v>24.9338</v>
      </c>
      <c r="H894" s="14">
        <v>19.4102</v>
      </c>
      <c r="I894" s="7">
        <v>17.0226</v>
      </c>
      <c r="J894" s="7">
        <v>18.2736</v>
      </c>
      <c r="K894" s="7"/>
      <c r="L894" s="7"/>
      <c r="M894" s="7"/>
      <c r="N894" s="7">
        <v>16.7132</v>
      </c>
      <c r="O894" s="8">
        <v>13.4438</v>
      </c>
      <c r="P894" s="7">
        <v>16.1202</v>
      </c>
      <c r="Q894" s="7">
        <v>16.1202</v>
      </c>
      <c r="R894" s="7">
        <v>16.1202</v>
      </c>
      <c r="S894" s="8">
        <v>16.1202</v>
      </c>
    </row>
    <row r="895" spans="1:19" s="12" customFormat="1" ht="16.5" customHeight="1">
      <c r="A895" s="3"/>
      <c r="B895" s="13" t="s">
        <v>303</v>
      </c>
      <c r="C895" s="7">
        <v>18.9196</v>
      </c>
      <c r="D895" s="7"/>
      <c r="E895" s="7">
        <v>19.821</v>
      </c>
      <c r="F895" s="7">
        <v>20.6294</v>
      </c>
      <c r="G895" s="7">
        <v>24.9634</v>
      </c>
      <c r="H895" s="14">
        <v>19.5891</v>
      </c>
      <c r="I895" s="7">
        <v>16.7374</v>
      </c>
      <c r="J895" s="7">
        <v>17.9943</v>
      </c>
      <c r="K895" s="7"/>
      <c r="L895" s="7"/>
      <c r="M895" s="7"/>
      <c r="N895" s="7">
        <v>16.414</v>
      </c>
      <c r="O895" s="8">
        <v>12.9904</v>
      </c>
      <c r="P895" s="7">
        <v>16.1202</v>
      </c>
      <c r="Q895" s="7">
        <v>16.1202</v>
      </c>
      <c r="R895" s="7">
        <v>16.1202</v>
      </c>
      <c r="S895" s="8">
        <v>16.1202</v>
      </c>
    </row>
    <row r="896" spans="1:19" s="12" customFormat="1" ht="16.5" customHeight="1">
      <c r="A896" s="3"/>
      <c r="B896" s="13" t="s">
        <v>304</v>
      </c>
      <c r="C896" s="7">
        <v>18.5681</v>
      </c>
      <c r="D896" s="7"/>
      <c r="E896" s="7">
        <v>19.5057</v>
      </c>
      <c r="F896" s="7">
        <v>20.3497</v>
      </c>
      <c r="G896" s="7">
        <v>24.9107</v>
      </c>
      <c r="H896" s="14">
        <v>19.2729</v>
      </c>
      <c r="I896" s="7">
        <v>16.4286</v>
      </c>
      <c r="J896" s="7">
        <v>17.7866</v>
      </c>
      <c r="K896" s="7"/>
      <c r="L896" s="7"/>
      <c r="M896" s="7"/>
      <c r="N896" s="7">
        <v>16.1283</v>
      </c>
      <c r="O896" s="8">
        <v>13.1676</v>
      </c>
      <c r="P896" s="7">
        <v>16.1202</v>
      </c>
      <c r="Q896" s="7">
        <v>16.1202</v>
      </c>
      <c r="R896" s="7">
        <v>16.1202</v>
      </c>
      <c r="S896" s="8">
        <v>16.1202</v>
      </c>
    </row>
    <row r="897" spans="1:19" s="12" customFormat="1" ht="16.5" customHeight="1">
      <c r="A897" s="3"/>
      <c r="B897" s="4" t="s">
        <v>13</v>
      </c>
      <c r="C897" s="56">
        <f>(C892*3+C893*7+C894*7+C895*7+C896*7)/31</f>
        <v>18.58390322580645</v>
      </c>
      <c r="D897" s="11"/>
      <c r="E897" s="11">
        <f aca="true" t="shared" si="128" ref="E897:S897">(E892*3+E893*7+E894*7+E895*7+E896*7)/31</f>
        <v>19.518490322580647</v>
      </c>
      <c r="F897" s="11">
        <f t="shared" si="128"/>
        <v>20.36021935483871</v>
      </c>
      <c r="G897" s="11">
        <f t="shared" si="128"/>
        <v>24.913077419354842</v>
      </c>
      <c r="H897" s="11">
        <f t="shared" si="128"/>
        <v>19.28660322580645</v>
      </c>
      <c r="I897" s="11">
        <f t="shared" si="128"/>
        <v>16.6844064516129</v>
      </c>
      <c r="J897" s="11">
        <f t="shared" si="128"/>
        <v>17.965429032258065</v>
      </c>
      <c r="K897" s="11"/>
      <c r="L897" s="11"/>
      <c r="M897" s="11"/>
      <c r="N897" s="11">
        <f t="shared" si="128"/>
        <v>16.364664516129032</v>
      </c>
      <c r="O897" s="38">
        <f t="shared" si="128"/>
        <v>13.13652258064516</v>
      </c>
      <c r="P897" s="11">
        <f t="shared" si="128"/>
        <v>16.14149677419355</v>
      </c>
      <c r="Q897" s="11">
        <f t="shared" si="128"/>
        <v>16.14149677419355</v>
      </c>
      <c r="R897" s="48">
        <f t="shared" si="128"/>
        <v>16.14149677419355</v>
      </c>
      <c r="S897" s="38">
        <f t="shared" si="128"/>
        <v>16.14149677419355</v>
      </c>
    </row>
    <row r="898" spans="1:19" s="12" customFormat="1" ht="16.5" customHeight="1">
      <c r="A898" s="3"/>
      <c r="B898" s="13" t="s">
        <v>233</v>
      </c>
      <c r="C898" s="7">
        <v>18.6235</v>
      </c>
      <c r="D898" s="7"/>
      <c r="E898" s="7">
        <v>19.546</v>
      </c>
      <c r="F898" s="7">
        <v>20.3746</v>
      </c>
      <c r="G898" s="7">
        <v>24.834</v>
      </c>
      <c r="H898" s="14">
        <v>19.3127</v>
      </c>
      <c r="I898" s="7">
        <v>16.2897</v>
      </c>
      <c r="J898" s="7">
        <v>17.7211</v>
      </c>
      <c r="K898" s="7"/>
      <c r="L898" s="7"/>
      <c r="M898" s="7"/>
      <c r="N898" s="7">
        <v>16.0181</v>
      </c>
      <c r="O898" s="8">
        <v>12.8179</v>
      </c>
      <c r="P898" s="7">
        <v>16.1202</v>
      </c>
      <c r="Q898" s="7">
        <v>16.1202</v>
      </c>
      <c r="R898" s="7">
        <v>16.1202</v>
      </c>
      <c r="S898" s="8">
        <v>16.1202</v>
      </c>
    </row>
    <row r="899" spans="1:19" s="12" customFormat="1" ht="16.5" customHeight="1">
      <c r="A899" s="3"/>
      <c r="B899" s="13" t="s">
        <v>306</v>
      </c>
      <c r="C899" s="7">
        <v>19.1835</v>
      </c>
      <c r="D899" s="7"/>
      <c r="E899" s="7">
        <v>20.0499</v>
      </c>
      <c r="F899" s="7">
        <v>20.8226</v>
      </c>
      <c r="G899" s="7">
        <v>24.918</v>
      </c>
      <c r="H899" s="14">
        <v>19.8165</v>
      </c>
      <c r="I899" s="7">
        <v>16.2554</v>
      </c>
      <c r="J899" s="7">
        <v>17.7201</v>
      </c>
      <c r="K899" s="7"/>
      <c r="L899" s="7"/>
      <c r="M899" s="7"/>
      <c r="N899" s="7">
        <v>15.9907</v>
      </c>
      <c r="O899" s="8">
        <v>12.5441</v>
      </c>
      <c r="P899" s="7">
        <v>15.8431</v>
      </c>
      <c r="Q899" s="7">
        <v>15.8431</v>
      </c>
      <c r="R899" s="7">
        <v>15.8431</v>
      </c>
      <c r="S899" s="8">
        <v>15.8431</v>
      </c>
    </row>
    <row r="900" spans="1:19" s="12" customFormat="1" ht="16.5" customHeight="1">
      <c r="A900" s="3"/>
      <c r="B900" s="13" t="s">
        <v>307</v>
      </c>
      <c r="C900" s="7">
        <v>19.2555</v>
      </c>
      <c r="D900" s="7"/>
      <c r="E900" s="7">
        <v>20.1144</v>
      </c>
      <c r="F900" s="7">
        <v>20.8797</v>
      </c>
      <c r="G900" s="7">
        <v>24.9288</v>
      </c>
      <c r="H900" s="14">
        <v>19.8812</v>
      </c>
      <c r="I900" s="7">
        <v>16.2425</v>
      </c>
      <c r="J900" s="7">
        <v>17.5898</v>
      </c>
      <c r="K900" s="7"/>
      <c r="L900" s="7"/>
      <c r="M900" s="7"/>
      <c r="N900" s="7">
        <v>15.8528</v>
      </c>
      <c r="O900" s="8">
        <v>12.515</v>
      </c>
      <c r="P900" s="7">
        <v>15.7969</v>
      </c>
      <c r="Q900" s="7">
        <v>15.7969</v>
      </c>
      <c r="R900" s="7">
        <v>15.7969</v>
      </c>
      <c r="S900" s="8">
        <v>15.7969</v>
      </c>
    </row>
    <row r="901" spans="1:19" s="12" customFormat="1" ht="16.5" customHeight="1">
      <c r="A901" s="3"/>
      <c r="B901" s="13" t="s">
        <v>308</v>
      </c>
      <c r="C901" s="7">
        <v>18.5795</v>
      </c>
      <c r="D901" s="7"/>
      <c r="E901" s="7">
        <v>19.5064</v>
      </c>
      <c r="F901" s="7">
        <v>20.3395</v>
      </c>
      <c r="G901" s="7">
        <v>24.8274</v>
      </c>
      <c r="H901" s="14">
        <v>19.273</v>
      </c>
      <c r="I901" s="7">
        <v>16.1735</v>
      </c>
      <c r="J901" s="7">
        <v>17.497</v>
      </c>
      <c r="K901" s="7"/>
      <c r="L901" s="7"/>
      <c r="M901" s="7"/>
      <c r="N901" s="7">
        <v>15.768</v>
      </c>
      <c r="O901" s="8">
        <v>12.2533</v>
      </c>
      <c r="P901" s="7">
        <v>15.7969</v>
      </c>
      <c r="Q901" s="7">
        <v>15.7969</v>
      </c>
      <c r="R901" s="7">
        <v>15.7969</v>
      </c>
      <c r="S901" s="8">
        <v>15.7969</v>
      </c>
    </row>
    <row r="902" spans="1:19" s="12" customFormat="1" ht="16.5" customHeight="1">
      <c r="A902" s="3"/>
      <c r="B902" s="13" t="s">
        <v>309</v>
      </c>
      <c r="C902" s="7">
        <v>18.2678</v>
      </c>
      <c r="D902" s="7"/>
      <c r="E902" s="7">
        <v>19.2263</v>
      </c>
      <c r="F902" s="7">
        <v>20.0908</v>
      </c>
      <c r="G902" s="7">
        <v>24.7807</v>
      </c>
      <c r="H902" s="14">
        <v>18.9924</v>
      </c>
      <c r="I902" s="7">
        <v>15.8723</v>
      </c>
      <c r="J902" s="7">
        <v>17.1889</v>
      </c>
      <c r="K902" s="7"/>
      <c r="L902" s="7"/>
      <c r="M902" s="7"/>
      <c r="N902" s="7">
        <v>15.4699</v>
      </c>
      <c r="O902" s="8">
        <v>11.9595</v>
      </c>
      <c r="P902" s="7">
        <v>15.7969</v>
      </c>
      <c r="Q902" s="7">
        <v>15.7969</v>
      </c>
      <c r="R902" s="7">
        <v>15.7969</v>
      </c>
      <c r="S902" s="8">
        <v>15.7969</v>
      </c>
    </row>
    <row r="903" spans="1:19" s="12" customFormat="1" ht="16.5" customHeight="1">
      <c r="A903" s="3"/>
      <c r="B903" s="4" t="s">
        <v>13</v>
      </c>
      <c r="C903" s="56">
        <f>(C898*7+C899*7+C900*7+C901*7+C902*2)/30</f>
        <v>18.867653333333337</v>
      </c>
      <c r="D903" s="11"/>
      <c r="E903" s="11">
        <f aca="true" t="shared" si="129" ref="E903:S903">(E898*7+E899*7+E900*7+E901*7+E902*2)/30</f>
        <v>19.765649999999997</v>
      </c>
      <c r="F903" s="11">
        <f t="shared" si="129"/>
        <v>20.56988</v>
      </c>
      <c r="G903" s="11">
        <f t="shared" si="129"/>
        <v>24.870626666666666</v>
      </c>
      <c r="H903" s="11">
        <f t="shared" si="129"/>
        <v>19.532286666666664</v>
      </c>
      <c r="I903" s="11">
        <f t="shared" si="129"/>
        <v>16.215743333333332</v>
      </c>
      <c r="J903" s="11">
        <f t="shared" si="129"/>
        <v>17.60246</v>
      </c>
      <c r="K903" s="11"/>
      <c r="L903" s="11"/>
      <c r="M903" s="11"/>
      <c r="N903" s="11">
        <f t="shared" si="129"/>
        <v>15.878233333333332</v>
      </c>
      <c r="O903" s="38">
        <f t="shared" si="129"/>
        <v>12.49437</v>
      </c>
      <c r="P903" s="11">
        <f t="shared" si="129"/>
        <v>15.883116666666668</v>
      </c>
      <c r="Q903" s="11">
        <f t="shared" si="129"/>
        <v>15.883116666666668</v>
      </c>
      <c r="R903" s="48">
        <f t="shared" si="129"/>
        <v>15.883116666666668</v>
      </c>
      <c r="S903" s="38">
        <f t="shared" si="129"/>
        <v>15.883116666666668</v>
      </c>
    </row>
    <row r="904" spans="1:19" s="12" customFormat="1" ht="16.5" customHeight="1">
      <c r="A904" s="3"/>
      <c r="B904" s="13" t="s">
        <v>238</v>
      </c>
      <c r="C904" s="7">
        <v>17.932</v>
      </c>
      <c r="D904" s="7"/>
      <c r="E904" s="7">
        <v>18.9799</v>
      </c>
      <c r="F904" s="7">
        <v>19.9339</v>
      </c>
      <c r="G904" s="7">
        <v>25.2063</v>
      </c>
      <c r="H904" s="14">
        <v>18.7464</v>
      </c>
      <c r="I904" s="7">
        <v>15.7195</v>
      </c>
      <c r="J904" s="7">
        <v>17.0335</v>
      </c>
      <c r="K904" s="7"/>
      <c r="L904" s="7"/>
      <c r="M904" s="7"/>
      <c r="N904" s="7">
        <v>15.3054</v>
      </c>
      <c r="O904" s="8">
        <v>11.7024</v>
      </c>
      <c r="P904" s="7">
        <v>15.7969</v>
      </c>
      <c r="Q904" s="7">
        <v>15.7969</v>
      </c>
      <c r="R904" s="7">
        <v>15.7969</v>
      </c>
      <c r="S904" s="8">
        <v>15.7969</v>
      </c>
    </row>
    <row r="905" spans="1:19" s="12" customFormat="1" ht="16.5" customHeight="1">
      <c r="A905" s="3"/>
      <c r="B905" s="13" t="s">
        <v>310</v>
      </c>
      <c r="C905" s="7">
        <v>17.614</v>
      </c>
      <c r="D905" s="7"/>
      <c r="E905" s="7">
        <v>18.6944</v>
      </c>
      <c r="F905" s="7">
        <v>19.6805</v>
      </c>
      <c r="G905" s="7">
        <v>25.1586</v>
      </c>
      <c r="H905" s="14">
        <v>18.4602</v>
      </c>
      <c r="I905" s="7">
        <v>14.797</v>
      </c>
      <c r="J905" s="7">
        <v>16.2207</v>
      </c>
      <c r="K905" s="7"/>
      <c r="L905" s="7"/>
      <c r="M905" s="7"/>
      <c r="N905" s="7">
        <v>14.4741</v>
      </c>
      <c r="O905" s="8">
        <v>11.0754</v>
      </c>
      <c r="P905" s="7">
        <v>15.6936</v>
      </c>
      <c r="Q905" s="7">
        <v>15.6936</v>
      </c>
      <c r="R905" s="7">
        <v>15.6936</v>
      </c>
      <c r="S905" s="8">
        <v>15.6936</v>
      </c>
    </row>
    <row r="906" spans="1:19" s="12" customFormat="1" ht="16.5" customHeight="1">
      <c r="A906" s="3"/>
      <c r="B906" s="13" t="s">
        <v>311</v>
      </c>
      <c r="C906" s="7">
        <v>17.6414</v>
      </c>
      <c r="D906" s="7"/>
      <c r="E906" s="7">
        <v>18.72</v>
      </c>
      <c r="F906" s="7">
        <v>19.7039</v>
      </c>
      <c r="G906" s="7">
        <v>25.1627</v>
      </c>
      <c r="H906" s="14">
        <v>18.4839</v>
      </c>
      <c r="I906" s="7">
        <v>14.5769</v>
      </c>
      <c r="J906" s="7">
        <v>15.832</v>
      </c>
      <c r="K906" s="7"/>
      <c r="L906" s="7"/>
      <c r="M906" s="7"/>
      <c r="N906" s="7">
        <v>14.0863</v>
      </c>
      <c r="O906" s="8">
        <v>11.0699</v>
      </c>
      <c r="P906" s="7">
        <v>15.6764</v>
      </c>
      <c r="Q906" s="7">
        <v>15.6764</v>
      </c>
      <c r="R906" s="7">
        <v>15.6764</v>
      </c>
      <c r="S906" s="8">
        <v>15.6764</v>
      </c>
    </row>
    <row r="907" spans="1:19" s="12" customFormat="1" ht="16.5" customHeight="1">
      <c r="A907" s="3"/>
      <c r="B907" s="13" t="s">
        <v>312</v>
      </c>
      <c r="C907" s="7">
        <v>17.3926</v>
      </c>
      <c r="D907" s="7"/>
      <c r="E907" s="7">
        <v>18.4988</v>
      </c>
      <c r="F907" s="7">
        <v>19.509</v>
      </c>
      <c r="G907" s="7">
        <v>25.1254</v>
      </c>
      <c r="H907" s="14">
        <v>18.2595</v>
      </c>
      <c r="I907" s="7">
        <v>14.4533</v>
      </c>
      <c r="J907" s="7">
        <v>15.62</v>
      </c>
      <c r="K907" s="7"/>
      <c r="L907" s="7"/>
      <c r="M907" s="7"/>
      <c r="N907" s="7">
        <v>13.8514</v>
      </c>
      <c r="O907" s="8">
        <v>10.9374</v>
      </c>
      <c r="P907" s="7">
        <v>15.6764</v>
      </c>
      <c r="Q907" s="7">
        <v>15.6764</v>
      </c>
      <c r="R907" s="7">
        <v>15.6764</v>
      </c>
      <c r="S907" s="8">
        <v>15.6764</v>
      </c>
    </row>
    <row r="908" spans="1:19" s="12" customFormat="1" ht="16.5" customHeight="1">
      <c r="A908" s="3"/>
      <c r="B908" s="13" t="s">
        <v>313</v>
      </c>
      <c r="C908" s="7">
        <v>17.0994</v>
      </c>
      <c r="D908" s="7"/>
      <c r="E908" s="7">
        <v>18.2367</v>
      </c>
      <c r="F908" s="7">
        <v>19.2771</v>
      </c>
      <c r="G908" s="7">
        <v>25.0814</v>
      </c>
      <c r="H908" s="14">
        <v>17.9954</v>
      </c>
      <c r="I908" s="7">
        <v>14.0799</v>
      </c>
      <c r="J908" s="7">
        <v>15.1415</v>
      </c>
      <c r="K908" s="7"/>
      <c r="L908" s="7"/>
      <c r="M908" s="7"/>
      <c r="N908" s="7">
        <v>13.3341</v>
      </c>
      <c r="O908" s="8">
        <v>10.4778</v>
      </c>
      <c r="P908" s="7">
        <v>15.6764</v>
      </c>
      <c r="Q908" s="7">
        <v>15.6764</v>
      </c>
      <c r="R908" s="7">
        <v>15.6764</v>
      </c>
      <c r="S908" s="8">
        <v>15.6764</v>
      </c>
    </row>
    <row r="909" spans="1:19" s="12" customFormat="1" ht="16.5" customHeight="1">
      <c r="A909" s="3"/>
      <c r="B909" s="4" t="s">
        <v>13</v>
      </c>
      <c r="C909" s="56">
        <f>(C904*5+C905*7+C906*7+C907*7+C908*5)/31</f>
        <v>17.53848387096774</v>
      </c>
      <c r="D909" s="11"/>
      <c r="E909" s="11">
        <f aca="true" t="shared" si="130" ref="E909:S909">(E904*5+E905*7+E906*7+E907*7+E908*5)/31</f>
        <v>18.628238709677422</v>
      </c>
      <c r="F909" s="11">
        <f t="shared" si="130"/>
        <v>19.622864516129034</v>
      </c>
      <c r="G909" s="11">
        <f t="shared" si="130"/>
        <v>25.14727096774194</v>
      </c>
      <c r="H909" s="11">
        <f t="shared" si="130"/>
        <v>18.39142580645161</v>
      </c>
      <c r="I909" s="11">
        <f t="shared" si="130"/>
        <v>14.702819354838711</v>
      </c>
      <c r="J909" s="11">
        <f t="shared" si="130"/>
        <v>15.95431935483871</v>
      </c>
      <c r="K909" s="11"/>
      <c r="L909" s="11"/>
      <c r="M909" s="11"/>
      <c r="N909" s="11">
        <f t="shared" si="130"/>
        <v>14.196132258064518</v>
      </c>
      <c r="O909" s="38">
        <f t="shared" si="130"/>
        <v>11.047738709677422</v>
      </c>
      <c r="P909" s="11">
        <f t="shared" si="130"/>
        <v>15.69971935483871</v>
      </c>
      <c r="Q909" s="11">
        <f t="shared" si="130"/>
        <v>15.69971935483871</v>
      </c>
      <c r="R909" s="48">
        <f>(R904*5+R905*7+R906*7+R907*7+R908*5)/31</f>
        <v>15.69971935483871</v>
      </c>
      <c r="S909" s="38">
        <f t="shared" si="130"/>
        <v>15.69971935483871</v>
      </c>
    </row>
    <row r="910" spans="1:19" s="12" customFormat="1" ht="16.5" customHeight="1">
      <c r="A910" s="3"/>
      <c r="B910" s="13" t="s">
        <v>244</v>
      </c>
      <c r="C910" s="7">
        <v>17.1429</v>
      </c>
      <c r="D910" s="7"/>
      <c r="E910" s="7">
        <v>18.2627</v>
      </c>
      <c r="F910" s="7">
        <v>19.2852</v>
      </c>
      <c r="G910" s="7">
        <v>24.9689</v>
      </c>
      <c r="H910" s="14">
        <v>18.0203</v>
      </c>
      <c r="I910" s="7">
        <v>13.9683</v>
      </c>
      <c r="J910" s="7">
        <v>15.0779</v>
      </c>
      <c r="K910" s="7"/>
      <c r="L910" s="7"/>
      <c r="M910" s="7"/>
      <c r="N910" s="7">
        <v>13.2624</v>
      </c>
      <c r="O910" s="8">
        <v>10.3807</v>
      </c>
      <c r="P910" s="7">
        <v>15.6764</v>
      </c>
      <c r="Q910" s="7">
        <v>15.6764</v>
      </c>
      <c r="R910" s="7">
        <v>15.6764</v>
      </c>
      <c r="S910" s="8">
        <v>15.6764</v>
      </c>
    </row>
    <row r="911" spans="1:19" s="12" customFormat="1" ht="16.5" customHeight="1">
      <c r="A911" s="3"/>
      <c r="B911" s="13" t="s">
        <v>314</v>
      </c>
      <c r="C911" s="7">
        <v>17.0182</v>
      </c>
      <c r="D911" s="7"/>
      <c r="E911" s="7">
        <v>18.1511</v>
      </c>
      <c r="F911" s="7">
        <v>19.1864</v>
      </c>
      <c r="G911" s="7">
        <v>24.9502</v>
      </c>
      <c r="H911" s="14">
        <v>17.908</v>
      </c>
      <c r="I911" s="7">
        <v>13.3768</v>
      </c>
      <c r="J911" s="7">
        <v>14.8857</v>
      </c>
      <c r="K911" s="7"/>
      <c r="L911" s="7"/>
      <c r="M911" s="7"/>
      <c r="N911" s="7">
        <v>12.9633</v>
      </c>
      <c r="O911" s="8">
        <v>10.0223</v>
      </c>
      <c r="P911" s="7">
        <v>15.0128</v>
      </c>
      <c r="Q911" s="7">
        <v>15.0128</v>
      </c>
      <c r="R911" s="7">
        <v>15.0128</v>
      </c>
      <c r="S911" s="8">
        <v>15.0128</v>
      </c>
    </row>
    <row r="912" spans="1:19" s="12" customFormat="1" ht="16.5" customHeight="1">
      <c r="A912" s="3"/>
      <c r="B912" s="13" t="s">
        <v>315</v>
      </c>
      <c r="C912" s="7">
        <v>16.8159</v>
      </c>
      <c r="D912" s="7"/>
      <c r="E912" s="7">
        <v>17.9695</v>
      </c>
      <c r="F912" s="7">
        <v>19.0253</v>
      </c>
      <c r="G912" s="7">
        <v>24.9199</v>
      </c>
      <c r="H912" s="14">
        <v>17.726</v>
      </c>
      <c r="I912" s="7">
        <v>13.3121</v>
      </c>
      <c r="J912" s="7">
        <v>14.9524</v>
      </c>
      <c r="K912" s="7"/>
      <c r="L912" s="7"/>
      <c r="M912" s="7"/>
      <c r="N912" s="7">
        <v>13.0377</v>
      </c>
      <c r="O912" s="8">
        <v>9.8077</v>
      </c>
      <c r="P912" s="7">
        <v>14.9022</v>
      </c>
      <c r="Q912" s="7">
        <v>14.9022</v>
      </c>
      <c r="R912" s="7">
        <v>14.9022</v>
      </c>
      <c r="S912" s="8">
        <v>14.9022</v>
      </c>
    </row>
    <row r="913" spans="1:19" s="12" customFormat="1" ht="16.5" customHeight="1">
      <c r="A913" s="3"/>
      <c r="B913" s="13" t="s">
        <v>316</v>
      </c>
      <c r="C913" s="7">
        <v>15.89</v>
      </c>
      <c r="D913" s="7"/>
      <c r="E913" s="7">
        <v>17.1378</v>
      </c>
      <c r="F913" s="7">
        <v>18.287</v>
      </c>
      <c r="G913" s="7">
        <v>24.781</v>
      </c>
      <c r="H913" s="14">
        <v>16.8919</v>
      </c>
      <c r="I913" s="7">
        <v>13.2165</v>
      </c>
      <c r="J913" s="7">
        <v>14.7572</v>
      </c>
      <c r="K913" s="7"/>
      <c r="L913" s="7"/>
      <c r="M913" s="7"/>
      <c r="N913" s="7">
        <v>12.8166</v>
      </c>
      <c r="O913" s="8">
        <v>9.271</v>
      </c>
      <c r="P913" s="7">
        <v>14.9022</v>
      </c>
      <c r="Q913" s="7">
        <v>14.9022</v>
      </c>
      <c r="R913" s="7">
        <v>14.9022</v>
      </c>
      <c r="S913" s="8">
        <v>14.9022</v>
      </c>
    </row>
    <row r="914" spans="1:19" s="12" customFormat="1" ht="16.5" customHeight="1">
      <c r="A914" s="3"/>
      <c r="B914" s="13" t="s">
        <v>317</v>
      </c>
      <c r="C914" s="7">
        <v>14.5873</v>
      </c>
      <c r="D914" s="7"/>
      <c r="E914" s="7">
        <v>15.9664</v>
      </c>
      <c r="F914" s="7">
        <v>17.2463</v>
      </c>
      <c r="G914" s="7">
        <v>24.5856</v>
      </c>
      <c r="H914" s="14">
        <v>15.7196</v>
      </c>
      <c r="I914" s="7">
        <v>12.5339</v>
      </c>
      <c r="J914" s="7">
        <v>14.1721</v>
      </c>
      <c r="K914" s="7"/>
      <c r="L914" s="7"/>
      <c r="M914" s="7"/>
      <c r="N914" s="7">
        <v>12.2262</v>
      </c>
      <c r="O914" s="8">
        <v>8.1037</v>
      </c>
      <c r="P914" s="7">
        <v>14.9022</v>
      </c>
      <c r="Q914" s="7">
        <v>14.9022</v>
      </c>
      <c r="R914" s="7">
        <v>14.9022</v>
      </c>
      <c r="S914" s="8">
        <v>14.9022</v>
      </c>
    </row>
    <row r="915" spans="1:19" s="12" customFormat="1" ht="16.5" customHeight="1">
      <c r="A915" s="3"/>
      <c r="B915" s="13" t="s">
        <v>318</v>
      </c>
      <c r="C915" s="7">
        <v>14.8705</v>
      </c>
      <c r="D915" s="7"/>
      <c r="E915" s="7">
        <v>16.2219</v>
      </c>
      <c r="F915" s="7">
        <v>17.4738</v>
      </c>
      <c r="G915" s="7">
        <v>24.6281</v>
      </c>
      <c r="H915" s="14">
        <v>15.9743</v>
      </c>
      <c r="I915" s="7">
        <v>12.8351</v>
      </c>
      <c r="J915" s="7">
        <v>14.4523</v>
      </c>
      <c r="K915" s="7"/>
      <c r="L915" s="7"/>
      <c r="M915" s="7"/>
      <c r="N915" s="7">
        <v>12.5769</v>
      </c>
      <c r="O915" s="8">
        <v>8.4075</v>
      </c>
      <c r="P915" s="7">
        <v>14.9022</v>
      </c>
      <c r="Q915" s="7">
        <v>14.9022</v>
      </c>
      <c r="R915" s="7">
        <v>14.9022</v>
      </c>
      <c r="S915" s="8">
        <v>14.9022</v>
      </c>
    </row>
    <row r="916" spans="1:19" s="12" customFormat="1" ht="16.5" customHeight="1">
      <c r="A916" s="3"/>
      <c r="B916" s="4" t="s">
        <v>13</v>
      </c>
      <c r="C916" s="56">
        <f>(C910*2+C911*7+C912*7+C913*7+C914*7+C915*1)/31</f>
        <v>16.10761612903226</v>
      </c>
      <c r="D916" s="11"/>
      <c r="E916" s="11">
        <f aca="true" t="shared" si="131" ref="E916:S916">(E910*2+E911*7+E912*7+E913*7+E914*7+E915*1)/31</f>
        <v>17.332932258064517</v>
      </c>
      <c r="F916" s="11">
        <f t="shared" si="131"/>
        <v>18.459974193548387</v>
      </c>
      <c r="G916" s="11">
        <f t="shared" si="131"/>
        <v>24.81363870967742</v>
      </c>
      <c r="H916" s="11">
        <f t="shared" si="131"/>
        <v>17.088174193548387</v>
      </c>
      <c r="I916" s="11">
        <f t="shared" si="131"/>
        <v>13.156348387096775</v>
      </c>
      <c r="J916" s="11">
        <f t="shared" si="131"/>
        <v>14.709029032258064</v>
      </c>
      <c r="K916" s="11"/>
      <c r="L916" s="11"/>
      <c r="M916" s="11"/>
      <c r="N916" s="11">
        <f t="shared" si="131"/>
        <v>12.787364516129033</v>
      </c>
      <c r="O916" s="38">
        <f t="shared" si="131"/>
        <v>9.341993548387098</v>
      </c>
      <c r="P916" s="11">
        <f>(P910*2+P911*7+P912*7+P913*7+P914*7+P915*1)/31</f>
        <v>14.977122580645164</v>
      </c>
      <c r="Q916" s="11">
        <f t="shared" si="131"/>
        <v>14.977122580645164</v>
      </c>
      <c r="R916" s="48">
        <f t="shared" si="131"/>
        <v>14.977122580645164</v>
      </c>
      <c r="S916" s="38">
        <f t="shared" si="131"/>
        <v>14.977122580645164</v>
      </c>
    </row>
    <row r="917" spans="1:19" s="12" customFormat="1" ht="16.5" customHeight="1">
      <c r="A917" s="3"/>
      <c r="B917" s="13" t="s">
        <v>27</v>
      </c>
      <c r="C917" s="7">
        <v>15.8734</v>
      </c>
      <c r="D917" s="7"/>
      <c r="E917" s="7">
        <v>17.2087</v>
      </c>
      <c r="F917" s="7">
        <v>18.4444</v>
      </c>
      <c r="G917" s="7">
        <v>25.4925</v>
      </c>
      <c r="H917" s="14">
        <v>16.9605</v>
      </c>
      <c r="I917" s="7">
        <v>13.733</v>
      </c>
      <c r="J917" s="7">
        <v>15.3214</v>
      </c>
      <c r="K917" s="7"/>
      <c r="L917" s="7"/>
      <c r="M917" s="7"/>
      <c r="N917" s="7">
        <v>13.5065</v>
      </c>
      <c r="O917" s="8">
        <v>9.3966</v>
      </c>
      <c r="P917" s="7">
        <v>14.9022</v>
      </c>
      <c r="Q917" s="7">
        <v>14.9022</v>
      </c>
      <c r="R917" s="7">
        <v>14.9022</v>
      </c>
      <c r="S917" s="8">
        <v>14.9022</v>
      </c>
    </row>
    <row r="918" spans="1:19" s="12" customFormat="1" ht="16.5" customHeight="1">
      <c r="A918" s="3"/>
      <c r="B918" s="13" t="s">
        <v>319</v>
      </c>
      <c r="C918" s="7">
        <v>16.0749</v>
      </c>
      <c r="D918" s="7"/>
      <c r="E918" s="7">
        <v>17.3914</v>
      </c>
      <c r="F918" s="7">
        <v>18.6077</v>
      </c>
      <c r="G918" s="7">
        <v>25.5227</v>
      </c>
      <c r="H918" s="14">
        <v>17.1415</v>
      </c>
      <c r="I918" s="7">
        <v>13.884</v>
      </c>
      <c r="J918" s="7">
        <v>15.446</v>
      </c>
      <c r="K918" s="7"/>
      <c r="L918" s="7"/>
      <c r="M918" s="7"/>
      <c r="N918" s="7">
        <v>13.6826</v>
      </c>
      <c r="O918" s="8">
        <v>9.1437</v>
      </c>
      <c r="P918" s="7">
        <v>14.3534</v>
      </c>
      <c r="Q918" s="7">
        <v>14.3534</v>
      </c>
      <c r="R918" s="7">
        <v>14.3534</v>
      </c>
      <c r="S918" s="8">
        <v>14.3534</v>
      </c>
    </row>
    <row r="919" spans="1:19" s="12" customFormat="1" ht="16.5" customHeight="1">
      <c r="A919" s="3"/>
      <c r="B919" s="13" t="s">
        <v>320</v>
      </c>
      <c r="C919" s="7">
        <v>15.7179</v>
      </c>
      <c r="D919" s="7"/>
      <c r="E919" s="7">
        <v>17.0693</v>
      </c>
      <c r="F919" s="7">
        <v>18.3209</v>
      </c>
      <c r="G919" s="7">
        <v>25.4692</v>
      </c>
      <c r="H919" s="14">
        <v>16.82</v>
      </c>
      <c r="I919" s="7">
        <v>13.5801</v>
      </c>
      <c r="J919" s="7">
        <v>14.9994</v>
      </c>
      <c r="K919" s="7"/>
      <c r="L919" s="7"/>
      <c r="M919" s="7"/>
      <c r="N919" s="7">
        <v>13.3539</v>
      </c>
      <c r="O919" s="8">
        <v>8.878</v>
      </c>
      <c r="P919" s="7">
        <v>14.2619</v>
      </c>
      <c r="Q919" s="7">
        <v>14.2619</v>
      </c>
      <c r="R919" s="7">
        <v>14.2619</v>
      </c>
      <c r="S919" s="8">
        <v>14.2619</v>
      </c>
    </row>
    <row r="920" spans="1:19" s="12" customFormat="1" ht="16.5" customHeight="1">
      <c r="A920" s="3"/>
      <c r="B920" s="13" t="s">
        <v>321</v>
      </c>
      <c r="C920" s="7">
        <v>16.0914</v>
      </c>
      <c r="D920" s="7"/>
      <c r="E920" s="7">
        <v>17.4061</v>
      </c>
      <c r="F920" s="7">
        <v>18.6207</v>
      </c>
      <c r="G920" s="7">
        <v>25.5252</v>
      </c>
      <c r="H920" s="14">
        <v>17.1553</v>
      </c>
      <c r="I920" s="7">
        <v>13.707</v>
      </c>
      <c r="J920" s="7">
        <v>15.0935</v>
      </c>
      <c r="K920" s="7"/>
      <c r="L920" s="7"/>
      <c r="M920" s="7"/>
      <c r="N920" s="7">
        <v>13.6826</v>
      </c>
      <c r="O920" s="8">
        <v>8.8446</v>
      </c>
      <c r="P920" s="7">
        <v>14.2619</v>
      </c>
      <c r="Q920" s="7">
        <v>14.2619</v>
      </c>
      <c r="R920" s="7">
        <v>14.2619</v>
      </c>
      <c r="S920" s="8">
        <v>14.2619</v>
      </c>
    </row>
    <row r="921" spans="1:19" s="12" customFormat="1" ht="16.5" customHeight="1">
      <c r="A921" s="3"/>
      <c r="B921" s="13" t="s">
        <v>322</v>
      </c>
      <c r="C921" s="7">
        <v>16.1518</v>
      </c>
      <c r="D921" s="7"/>
      <c r="E921" s="7">
        <v>17.4621</v>
      </c>
      <c r="F921" s="7">
        <v>18.6714</v>
      </c>
      <c r="G921" s="7">
        <v>25.5243</v>
      </c>
      <c r="H921" s="14">
        <v>17.2094</v>
      </c>
      <c r="I921" s="7">
        <v>13.7649</v>
      </c>
      <c r="J921" s="7">
        <v>15.1058</v>
      </c>
      <c r="K921" s="7"/>
      <c r="L921" s="7"/>
      <c r="M921" s="7"/>
      <c r="N921" s="7">
        <v>13.4678</v>
      </c>
      <c r="O921" s="8">
        <v>8.9277</v>
      </c>
      <c r="P921" s="7">
        <v>14.2619</v>
      </c>
      <c r="Q921" s="7">
        <v>14.2619</v>
      </c>
      <c r="R921" s="7">
        <v>14.2619</v>
      </c>
      <c r="S921" s="8">
        <v>14.2619</v>
      </c>
    </row>
    <row r="922" spans="1:19" s="12" customFormat="1" ht="16.5" customHeight="1">
      <c r="A922" s="3"/>
      <c r="B922" s="4" t="s">
        <v>13</v>
      </c>
      <c r="C922" s="56">
        <f>(C917*6+C918*7+C919*7+C920*7+C921*3)/30</f>
        <v>15.96284</v>
      </c>
      <c r="D922" s="11"/>
      <c r="E922" s="11">
        <f aca="true" t="shared" si="132" ref="E922:R922">(E917*6+E918*7+E919*7+E920*7+E921*3)/30</f>
        <v>17.290203333333334</v>
      </c>
      <c r="F922" s="11">
        <f t="shared" si="132"/>
        <v>18.517523333333333</v>
      </c>
      <c r="G922" s="11">
        <f t="shared" si="132"/>
        <v>25.504920000000002</v>
      </c>
      <c r="H922" s="11">
        <f t="shared" si="132"/>
        <v>17.040293333333334</v>
      </c>
      <c r="I922" s="11">
        <f t="shared" si="132"/>
        <v>13.72968</v>
      </c>
      <c r="J922" s="11">
        <f t="shared" si="132"/>
        <v>15.200603333333333</v>
      </c>
      <c r="K922" s="11"/>
      <c r="L922" s="11"/>
      <c r="M922" s="11"/>
      <c r="N922" s="11">
        <f t="shared" si="132"/>
        <v>13.549203333333336</v>
      </c>
      <c r="O922" s="38">
        <f t="shared" si="132"/>
        <v>9.040893333333333</v>
      </c>
      <c r="P922" s="11">
        <f t="shared" si="132"/>
        <v>14.411310000000002</v>
      </c>
      <c r="Q922" s="11">
        <f t="shared" si="132"/>
        <v>14.411310000000002</v>
      </c>
      <c r="R922" s="48">
        <f t="shared" si="132"/>
        <v>14.411310000000002</v>
      </c>
      <c r="S922" s="38">
        <f>(S917*6+S918*7+S919*7+S920*7+S921*3)/30</f>
        <v>14.411310000000002</v>
      </c>
    </row>
    <row r="923" spans="1:19" s="12" customFormat="1" ht="16.5" customHeight="1">
      <c r="A923" s="3"/>
      <c r="B923" s="13" t="s">
        <v>253</v>
      </c>
      <c r="C923" s="7">
        <v>16.3148</v>
      </c>
      <c r="D923" s="7"/>
      <c r="E923" s="7">
        <v>17.5233</v>
      </c>
      <c r="F923" s="7">
        <v>18.6306</v>
      </c>
      <c r="G923" s="7">
        <v>24.8277</v>
      </c>
      <c r="H923" s="14">
        <v>17.2699</v>
      </c>
      <c r="I923" s="7">
        <v>13.904</v>
      </c>
      <c r="J923" s="7">
        <v>15.0948</v>
      </c>
      <c r="K923" s="7"/>
      <c r="L923" s="7"/>
      <c r="M923" s="7"/>
      <c r="N923" s="7">
        <v>13.4534</v>
      </c>
      <c r="O923" s="8">
        <v>8.992</v>
      </c>
      <c r="P923" s="7">
        <v>14.6837</v>
      </c>
      <c r="Q923" s="7">
        <v>14.6837</v>
      </c>
      <c r="R923" s="7">
        <v>14.6837</v>
      </c>
      <c r="S923" s="8">
        <v>14.6837</v>
      </c>
    </row>
    <row r="924" spans="1:19" s="12" customFormat="1" ht="16.5" customHeight="1">
      <c r="A924" s="3"/>
      <c r="B924" s="13" t="s">
        <v>323</v>
      </c>
      <c r="C924" s="7">
        <v>16.1909</v>
      </c>
      <c r="D924" s="7"/>
      <c r="E924" s="7">
        <v>17.4104</v>
      </c>
      <c r="F924" s="7">
        <v>18.5293</v>
      </c>
      <c r="G924" s="7">
        <v>24.8091</v>
      </c>
      <c r="H924" s="14">
        <v>17.159</v>
      </c>
      <c r="I924" s="7">
        <v>14.3201</v>
      </c>
      <c r="J924" s="7">
        <v>15.4304</v>
      </c>
      <c r="K924" s="7"/>
      <c r="L924" s="7"/>
      <c r="M924" s="7"/>
      <c r="N924" s="7">
        <v>13.8252</v>
      </c>
      <c r="O924" s="8">
        <v>9.5081</v>
      </c>
      <c r="P924" s="7">
        <v>15.1054</v>
      </c>
      <c r="Q924" s="7">
        <v>15.1054</v>
      </c>
      <c r="R924" s="7">
        <v>15.1054</v>
      </c>
      <c r="S924" s="8">
        <v>15.1054</v>
      </c>
    </row>
    <row r="925" spans="1:19" s="12" customFormat="1" ht="16.5" customHeight="1">
      <c r="A925" s="3"/>
      <c r="B925" s="13" t="s">
        <v>324</v>
      </c>
      <c r="C925" s="7">
        <v>15.5404</v>
      </c>
      <c r="D925" s="7"/>
      <c r="E925" s="7">
        <v>16.8208</v>
      </c>
      <c r="F925" s="7">
        <v>18.0027</v>
      </c>
      <c r="G925" s="7">
        <v>24.7116</v>
      </c>
      <c r="H925" s="14">
        <v>16.5753</v>
      </c>
      <c r="I925" s="7">
        <v>13.7192</v>
      </c>
      <c r="J925" s="7">
        <v>15.1085</v>
      </c>
      <c r="K925" s="7"/>
      <c r="L925" s="7"/>
      <c r="M925" s="7"/>
      <c r="N925" s="7">
        <v>13.4029</v>
      </c>
      <c r="O925" s="8">
        <v>9.2294</v>
      </c>
      <c r="P925" s="7">
        <v>15.1054</v>
      </c>
      <c r="Q925" s="7">
        <v>15.1054</v>
      </c>
      <c r="R925" s="7">
        <v>15.1054</v>
      </c>
      <c r="S925" s="8">
        <v>15.1054</v>
      </c>
    </row>
    <row r="926" spans="1:19" s="12" customFormat="1" ht="16.5" customHeight="1">
      <c r="A926" s="3"/>
      <c r="B926" s="13" t="s">
        <v>325</v>
      </c>
      <c r="C926" s="7">
        <v>14.785</v>
      </c>
      <c r="D926" s="7"/>
      <c r="E926" s="7">
        <v>16.1411</v>
      </c>
      <c r="F926" s="7">
        <v>17.3987</v>
      </c>
      <c r="G926" s="7">
        <v>24.5982</v>
      </c>
      <c r="H926" s="14">
        <v>15.8956</v>
      </c>
      <c r="I926" s="7">
        <v>13.3162</v>
      </c>
      <c r="J926" s="7">
        <v>14.7869</v>
      </c>
      <c r="K926" s="7"/>
      <c r="L926" s="7"/>
      <c r="M926" s="7"/>
      <c r="N926" s="7">
        <v>12.9869</v>
      </c>
      <c r="O926" s="8">
        <v>8.9182</v>
      </c>
      <c r="P926" s="7">
        <v>15.1054</v>
      </c>
      <c r="Q926" s="7">
        <v>15.1054</v>
      </c>
      <c r="R926" s="7">
        <v>15.1054</v>
      </c>
      <c r="S926" s="8">
        <v>15.1054</v>
      </c>
    </row>
    <row r="927" spans="1:19" s="12" customFormat="1" ht="16.5" customHeight="1">
      <c r="A927" s="3"/>
      <c r="B927" s="13" t="s">
        <v>326</v>
      </c>
      <c r="C927" s="7">
        <v>14.806</v>
      </c>
      <c r="D927" s="7"/>
      <c r="E927" s="7">
        <v>16.1606</v>
      </c>
      <c r="F927" s="7">
        <v>17.4164</v>
      </c>
      <c r="G927" s="7">
        <v>24.6014</v>
      </c>
      <c r="H927" s="14">
        <v>15.9144</v>
      </c>
      <c r="I927" s="7">
        <v>13.2544</v>
      </c>
      <c r="J927" s="7">
        <v>14.7935</v>
      </c>
      <c r="K927" s="7"/>
      <c r="L927" s="7"/>
      <c r="M927" s="7"/>
      <c r="N927" s="7">
        <v>12.9176</v>
      </c>
      <c r="O927" s="8">
        <v>8.917</v>
      </c>
      <c r="P927" s="7">
        <v>15.1054</v>
      </c>
      <c r="Q927" s="7">
        <v>15.1054</v>
      </c>
      <c r="R927" s="7">
        <v>15.1054</v>
      </c>
      <c r="S927" s="8">
        <v>15.1054</v>
      </c>
    </row>
    <row r="928" spans="1:19" s="12" customFormat="1" ht="16.5" customHeight="1">
      <c r="A928" s="3"/>
      <c r="B928" s="4" t="s">
        <v>13</v>
      </c>
      <c r="C928" s="56">
        <f>(C923*5+C924*7+C925*7+C926*7+C927*6)/31</f>
        <v>16.00077741935484</v>
      </c>
      <c r="D928" s="11"/>
      <c r="E928" s="11">
        <f aca="true" t="shared" si="133" ref="E928:S928">(E923*5+E924*7+E925*7+E926*7+E927*6)/31</f>
        <v>17.328587096774196</v>
      </c>
      <c r="F928" s="11">
        <f t="shared" si="133"/>
        <v>18.553751612903223</v>
      </c>
      <c r="G928" s="11">
        <f t="shared" si="133"/>
        <v>25.502554838709674</v>
      </c>
      <c r="H928" s="11">
        <f t="shared" si="133"/>
        <v>17.072425806451616</v>
      </c>
      <c r="I928" s="11">
        <f t="shared" si="133"/>
        <v>14.146287096774193</v>
      </c>
      <c r="J928" s="11">
        <f t="shared" si="133"/>
        <v>15.53276129032258</v>
      </c>
      <c r="K928" s="11"/>
      <c r="L928" s="11"/>
      <c r="M928" s="11"/>
      <c r="N928" s="11">
        <f t="shared" si="133"/>
        <v>13.750890322580645</v>
      </c>
      <c r="O928" s="38">
        <f t="shared" si="133"/>
        <v>9.421029032258064</v>
      </c>
      <c r="P928" s="11">
        <f t="shared" si="133"/>
        <v>15.524654838709676</v>
      </c>
      <c r="Q928" s="11">
        <f t="shared" si="133"/>
        <v>15.524654838709676</v>
      </c>
      <c r="R928" s="48">
        <f t="shared" si="133"/>
        <v>15.524654838709676</v>
      </c>
      <c r="S928" s="38">
        <f t="shared" si="133"/>
        <v>15.524654838709676</v>
      </c>
    </row>
    <row r="929" spans="1:19" s="12" customFormat="1" ht="16.5" customHeight="1">
      <c r="A929" s="3"/>
      <c r="B929" s="13" t="s">
        <v>89</v>
      </c>
      <c r="C929" s="7">
        <v>14.9924</v>
      </c>
      <c r="D929" s="7"/>
      <c r="E929" s="7">
        <v>16.3446</v>
      </c>
      <c r="F929" s="7">
        <v>17.5978</v>
      </c>
      <c r="G929" s="7">
        <v>24.7654</v>
      </c>
      <c r="H929" s="14">
        <v>16.0981</v>
      </c>
      <c r="I929" s="7">
        <v>13.4643</v>
      </c>
      <c r="J929" s="7">
        <v>14.939</v>
      </c>
      <c r="K929" s="7"/>
      <c r="L929" s="7"/>
      <c r="M929" s="7"/>
      <c r="N929" s="7">
        <v>13.0723</v>
      </c>
      <c r="O929" s="8">
        <v>9.0888</v>
      </c>
      <c r="P929" s="7">
        <v>15.1054</v>
      </c>
      <c r="Q929" s="7">
        <v>15.1054</v>
      </c>
      <c r="R929" s="7">
        <v>15.1054</v>
      </c>
      <c r="S929" s="8">
        <v>15.1054</v>
      </c>
    </row>
    <row r="930" spans="1:19" s="12" customFormat="1" ht="16.5" customHeight="1">
      <c r="A930" s="3"/>
      <c r="B930" s="13" t="s">
        <v>327</v>
      </c>
      <c r="C930" s="7">
        <v>14.8616</v>
      </c>
      <c r="D930" s="7"/>
      <c r="E930" s="7">
        <v>16.2266</v>
      </c>
      <c r="F930" s="7">
        <v>17.4927</v>
      </c>
      <c r="G930" s="7">
        <v>24.7457</v>
      </c>
      <c r="H930" s="14">
        <v>15.9804</v>
      </c>
      <c r="I930" s="7">
        <v>13.7482</v>
      </c>
      <c r="J930" s="7">
        <v>15.184</v>
      </c>
      <c r="K930" s="7"/>
      <c r="L930" s="7"/>
      <c r="M930" s="7"/>
      <c r="N930" s="7">
        <v>13.3462</v>
      </c>
      <c r="O930" s="8">
        <v>9.1355</v>
      </c>
      <c r="P930" s="7">
        <v>15.5029</v>
      </c>
      <c r="Q930" s="7">
        <v>15.5029</v>
      </c>
      <c r="R930" s="7">
        <v>15.5029</v>
      </c>
      <c r="S930" s="8">
        <v>15.5029</v>
      </c>
    </row>
    <row r="931" spans="1:19" s="12" customFormat="1" ht="16.5" customHeight="1">
      <c r="A931" s="3"/>
      <c r="B931" s="13" t="s">
        <v>328</v>
      </c>
      <c r="C931" s="7">
        <v>14.6797</v>
      </c>
      <c r="D931" s="7"/>
      <c r="E931" s="7">
        <v>16.0643</v>
      </c>
      <c r="F931" s="7">
        <v>17.3494</v>
      </c>
      <c r="G931" s="7">
        <v>24.7185</v>
      </c>
      <c r="H931" s="14">
        <v>15.8171</v>
      </c>
      <c r="I931" s="7">
        <v>13.5759</v>
      </c>
      <c r="J931" s="7">
        <v>14.991</v>
      </c>
      <c r="K931" s="7"/>
      <c r="L931" s="7"/>
      <c r="M931" s="7"/>
      <c r="N931" s="7">
        <v>13.1738</v>
      </c>
      <c r="O931" s="8">
        <v>8.8956</v>
      </c>
      <c r="P931" s="7">
        <v>15.8011</v>
      </c>
      <c r="Q931" s="7">
        <v>15.8011</v>
      </c>
      <c r="R931" s="7">
        <v>15.8011</v>
      </c>
      <c r="S931" s="8">
        <v>15.8011</v>
      </c>
    </row>
    <row r="932" spans="1:19" s="12" customFormat="1" ht="16.5" customHeight="1">
      <c r="A932" s="3"/>
      <c r="B932" s="13" t="s">
        <v>329</v>
      </c>
      <c r="C932" s="7">
        <v>14.1256</v>
      </c>
      <c r="D932" s="7"/>
      <c r="E932" s="7">
        <v>15.5663</v>
      </c>
      <c r="F932" s="7">
        <v>16.9071</v>
      </c>
      <c r="G932" s="7">
        <v>24.6353</v>
      </c>
      <c r="H932" s="14">
        <v>15.319</v>
      </c>
      <c r="I932" s="7">
        <v>13.0171</v>
      </c>
      <c r="J932" s="7">
        <v>14.5701</v>
      </c>
      <c r="K932" s="7"/>
      <c r="L932" s="7"/>
      <c r="M932" s="7"/>
      <c r="N932" s="7">
        <v>12.7216</v>
      </c>
      <c r="O932" s="8">
        <v>8.4216</v>
      </c>
      <c r="P932" s="7">
        <v>15.8011</v>
      </c>
      <c r="Q932" s="7">
        <v>15.8011</v>
      </c>
      <c r="R932" s="7">
        <v>15.8011</v>
      </c>
      <c r="S932" s="8">
        <v>15.8011</v>
      </c>
    </row>
    <row r="933" spans="1:19" s="12" customFormat="1" ht="16.5" customHeight="1">
      <c r="A933" s="3"/>
      <c r="B933" s="13" t="s">
        <v>330</v>
      </c>
      <c r="C933" s="7">
        <v>14.3149</v>
      </c>
      <c r="D933" s="7"/>
      <c r="E933" s="7">
        <v>15.7357</v>
      </c>
      <c r="F933" s="7">
        <v>17.0571</v>
      </c>
      <c r="G933" s="7">
        <v>24.6637</v>
      </c>
      <c r="H933" s="14">
        <v>15.4894</v>
      </c>
      <c r="I933" s="7">
        <v>12.9886</v>
      </c>
      <c r="J933" s="7">
        <v>14.5713</v>
      </c>
      <c r="K933" s="7"/>
      <c r="L933" s="7"/>
      <c r="M933" s="7"/>
      <c r="N933" s="7">
        <v>12.6983</v>
      </c>
      <c r="O933" s="8">
        <v>8.4348</v>
      </c>
      <c r="P933" s="7">
        <v>15.8011</v>
      </c>
      <c r="Q933" s="7">
        <v>15.8011</v>
      </c>
      <c r="R933" s="7">
        <v>15.8011</v>
      </c>
      <c r="S933" s="8">
        <v>15.8011</v>
      </c>
    </row>
    <row r="934" spans="1:19" s="12" customFormat="1" ht="16.5" customHeight="1">
      <c r="A934" s="3"/>
      <c r="B934" s="13" t="s">
        <v>331</v>
      </c>
      <c r="C934" s="7">
        <v>14.4656</v>
      </c>
      <c r="D934" s="7"/>
      <c r="E934" s="7">
        <v>15.8715</v>
      </c>
      <c r="F934" s="7">
        <v>17.1779</v>
      </c>
      <c r="G934" s="7">
        <v>24.6863</v>
      </c>
      <c r="H934" s="14">
        <v>15.6249</v>
      </c>
      <c r="I934" s="7">
        <v>12.9838</v>
      </c>
      <c r="J934" s="7">
        <v>14.5081</v>
      </c>
      <c r="K934" s="7"/>
      <c r="L934" s="7"/>
      <c r="M934" s="7"/>
      <c r="N934" s="7">
        <v>12.6301</v>
      </c>
      <c r="O934" s="8">
        <v>8.43</v>
      </c>
      <c r="P934" s="7">
        <v>15.8011</v>
      </c>
      <c r="Q934" s="7">
        <v>15.8011</v>
      </c>
      <c r="R934" s="7">
        <v>15.8011</v>
      </c>
      <c r="S934" s="8">
        <v>15.8011</v>
      </c>
    </row>
    <row r="935" spans="1:19" s="12" customFormat="1" ht="16.5" customHeight="1">
      <c r="A935" s="3"/>
      <c r="B935" s="4" t="s">
        <v>13</v>
      </c>
      <c r="C935" s="56">
        <f>(C929*1+C930*7+C931*7+C932*7+C933*7+C934*1)/30</f>
        <v>14.51102</v>
      </c>
      <c r="D935" s="11"/>
      <c r="E935" s="11">
        <f aca="true" t="shared" si="134" ref="E935:R935">(E929*1+E930*7+E931*7+E932*7+E933*7+E934*1)/30</f>
        <v>15.912213333333336</v>
      </c>
      <c r="F935" s="11">
        <f t="shared" si="134"/>
        <v>17.21399333333333</v>
      </c>
      <c r="G935" s="11">
        <f t="shared" si="134"/>
        <v>24.693136666666664</v>
      </c>
      <c r="H935" s="11">
        <f t="shared" si="134"/>
        <v>15.665476666666667</v>
      </c>
      <c r="I935" s="11">
        <f>(I929*1+I930*7+I931*7+I932*7+I933*7+I934*1)/30</f>
        <v>13.325223333333334</v>
      </c>
      <c r="J935" s="11">
        <f t="shared" si="134"/>
        <v>14.822063333333334</v>
      </c>
      <c r="K935" s="11"/>
      <c r="L935" s="11"/>
      <c r="M935" s="11"/>
      <c r="N935" s="11">
        <f t="shared" si="134"/>
        <v>12.976056666666668</v>
      </c>
      <c r="O935" s="38">
        <f t="shared" si="134"/>
        <v>8.724376666666666</v>
      </c>
      <c r="P935" s="11">
        <f t="shared" si="134"/>
        <v>15.70833</v>
      </c>
      <c r="Q935" s="11">
        <f t="shared" si="134"/>
        <v>15.70833</v>
      </c>
      <c r="R935" s="48">
        <f t="shared" si="134"/>
        <v>15.70833</v>
      </c>
      <c r="S935" s="38">
        <f>(S929*1+S930*7+S931*7+S932*7+S933*7+S934*1)/30</f>
        <v>15.70833</v>
      </c>
    </row>
    <row r="936" spans="1:19" s="12" customFormat="1" ht="16.5" customHeight="1">
      <c r="A936" s="3"/>
      <c r="B936" s="13" t="s">
        <v>40</v>
      </c>
      <c r="C936" s="7">
        <v>14.1942</v>
      </c>
      <c r="D936" s="7"/>
      <c r="E936" s="7">
        <v>15.4786</v>
      </c>
      <c r="F936" s="7">
        <v>16.6633</v>
      </c>
      <c r="G936" s="7">
        <v>23.3791</v>
      </c>
      <c r="H936" s="14">
        <v>15.2318</v>
      </c>
      <c r="I936" s="7">
        <v>12.5479</v>
      </c>
      <c r="J936" s="7">
        <v>14.1566</v>
      </c>
      <c r="K936" s="7"/>
      <c r="L936" s="7"/>
      <c r="M936" s="7"/>
      <c r="N936" s="7">
        <v>12.246</v>
      </c>
      <c r="O936" s="8">
        <v>8.0976</v>
      </c>
      <c r="P936" s="7">
        <v>16.1531</v>
      </c>
      <c r="Q936" s="7">
        <v>16.1531</v>
      </c>
      <c r="R936" s="7">
        <v>16.1531</v>
      </c>
      <c r="S936" s="8">
        <v>16.1531</v>
      </c>
    </row>
    <row r="937" spans="1:19" s="12" customFormat="1" ht="16.5" customHeight="1">
      <c r="A937" s="3"/>
      <c r="B937" s="13" t="s">
        <v>415</v>
      </c>
      <c r="C937" s="7">
        <v>13.7596</v>
      </c>
      <c r="D937" s="7"/>
      <c r="E937" s="7">
        <v>15.0878</v>
      </c>
      <c r="F937" s="7">
        <v>16.3161</v>
      </c>
      <c r="G937" s="7">
        <v>23.3139</v>
      </c>
      <c r="H937" s="14">
        <v>14.8409</v>
      </c>
      <c r="I937" s="7">
        <v>11.7301</v>
      </c>
      <c r="J937" s="7">
        <v>13.3746</v>
      </c>
      <c r="K937" s="7"/>
      <c r="L937" s="7"/>
      <c r="M937" s="7"/>
      <c r="N937" s="7">
        <v>11.4151</v>
      </c>
      <c r="O937" s="8">
        <v>7.398</v>
      </c>
      <c r="P937" s="7">
        <v>16.5051</v>
      </c>
      <c r="Q937" s="7">
        <v>16.5051</v>
      </c>
      <c r="R937" s="7">
        <v>16.5051</v>
      </c>
      <c r="S937" s="8">
        <v>16.5051</v>
      </c>
    </row>
    <row r="938" spans="1:19" s="12" customFormat="1" ht="16.5" customHeight="1">
      <c r="A938" s="3"/>
      <c r="B938" s="13" t="s">
        <v>262</v>
      </c>
      <c r="C938" s="7">
        <v>13.846</v>
      </c>
      <c r="D938" s="7"/>
      <c r="E938" s="7">
        <v>15.1665</v>
      </c>
      <c r="F938" s="7">
        <v>16.3867</v>
      </c>
      <c r="G938" s="7">
        <v>23.3269</v>
      </c>
      <c r="H938" s="14">
        <v>14.9186</v>
      </c>
      <c r="I938" s="7">
        <v>10.8717</v>
      </c>
      <c r="J938" s="7">
        <v>12.2275</v>
      </c>
      <c r="K938" s="7"/>
      <c r="L938" s="7"/>
      <c r="M938" s="7"/>
      <c r="N938" s="7">
        <v>10.1903</v>
      </c>
      <c r="O938" s="8">
        <v>6.796</v>
      </c>
      <c r="P938" s="7">
        <v>16.5051</v>
      </c>
      <c r="Q938" s="7">
        <v>16.5051</v>
      </c>
      <c r="R938" s="7">
        <v>16.5051</v>
      </c>
      <c r="S938" s="8">
        <v>16.5051</v>
      </c>
    </row>
    <row r="939" spans="1:19" s="12" customFormat="1" ht="16.5" customHeight="1">
      <c r="A939" s="3"/>
      <c r="B939" s="13" t="s">
        <v>208</v>
      </c>
      <c r="C939" s="7">
        <v>13.5681</v>
      </c>
      <c r="D939" s="7"/>
      <c r="E939" s="7">
        <v>14.9166</v>
      </c>
      <c r="F939" s="7">
        <v>16.1648</v>
      </c>
      <c r="G939" s="7">
        <v>23.2852</v>
      </c>
      <c r="H939" s="14">
        <v>14.6685</v>
      </c>
      <c r="I939" s="7">
        <v>10.5399</v>
      </c>
      <c r="J939" s="7">
        <v>11.9963</v>
      </c>
      <c r="K939" s="7"/>
      <c r="L939" s="7"/>
      <c r="M939" s="7"/>
      <c r="N939" s="7">
        <v>9.9083</v>
      </c>
      <c r="O939" s="8">
        <v>6.4262</v>
      </c>
      <c r="P939" s="7">
        <v>16.5051</v>
      </c>
      <c r="Q939" s="7">
        <v>16.5051</v>
      </c>
      <c r="R939" s="7">
        <v>16.5051</v>
      </c>
      <c r="S939" s="8">
        <v>16.5051</v>
      </c>
    </row>
    <row r="940" spans="1:19" s="12" customFormat="1" ht="16.5" customHeight="1">
      <c r="A940" s="3"/>
      <c r="B940" s="13" t="s">
        <v>41</v>
      </c>
      <c r="C940" s="7">
        <v>13.5592</v>
      </c>
      <c r="D940" s="7"/>
      <c r="E940" s="7">
        <v>14.9085</v>
      </c>
      <c r="F940" s="7">
        <v>16.1575</v>
      </c>
      <c r="G940" s="7">
        <v>23.2839</v>
      </c>
      <c r="H940" s="14">
        <v>14.6606</v>
      </c>
      <c r="I940" s="7">
        <v>10.4561</v>
      </c>
      <c r="J940" s="7">
        <v>12.0696</v>
      </c>
      <c r="K940" s="7"/>
      <c r="L940" s="7"/>
      <c r="M940" s="7"/>
      <c r="N940" s="7">
        <v>9.9136</v>
      </c>
      <c r="O940" s="8">
        <v>6.5303</v>
      </c>
      <c r="P940" s="7">
        <v>16.5051</v>
      </c>
      <c r="Q940" s="7">
        <v>16.5051</v>
      </c>
      <c r="R940" s="7">
        <v>16.5051</v>
      </c>
      <c r="S940" s="8">
        <v>16.5051</v>
      </c>
    </row>
    <row r="941" spans="1:19" s="12" customFormat="1" ht="16.5" customHeight="1">
      <c r="A941" s="3"/>
      <c r="B941" s="4" t="s">
        <v>13</v>
      </c>
      <c r="C941" s="56">
        <f>(C936*6+C937*7+C938*7+C939*7+C940*4)/31</f>
        <v>13.794125806451614</v>
      </c>
      <c r="D941" s="11"/>
      <c r="E941" s="11">
        <f aca="true" t="shared" si="135" ref="E941:R941">(E936*6+E937*7+E938*7+E939*7+E940*4)/31</f>
        <v>15.119416129032258</v>
      </c>
      <c r="F941" s="11">
        <f t="shared" si="135"/>
        <v>16.344612903225805</v>
      </c>
      <c r="G941" s="11">
        <f t="shared" si="135"/>
        <v>23.319103225806447</v>
      </c>
      <c r="H941" s="11">
        <f t="shared" si="135"/>
        <v>14.871909677419355</v>
      </c>
      <c r="I941" s="11">
        <f t="shared" si="135"/>
        <v>11.261409677419355</v>
      </c>
      <c r="J941" s="11">
        <f t="shared" si="135"/>
        <v>12.78731612903226</v>
      </c>
      <c r="K941" s="11"/>
      <c r="L941" s="11"/>
      <c r="M941" s="11"/>
      <c r="N941" s="11">
        <f>(N936*6+N937*7+N938*7+N939*7+N940*4)/31</f>
        <v>10.765364516129033</v>
      </c>
      <c r="O941" s="38">
        <f t="shared" si="135"/>
        <v>7.066070967741935</v>
      </c>
      <c r="P941" s="11">
        <f t="shared" si="135"/>
        <v>16.436970967741935</v>
      </c>
      <c r="Q941" s="11">
        <f t="shared" si="135"/>
        <v>16.436970967741935</v>
      </c>
      <c r="R941" s="48">
        <f t="shared" si="135"/>
        <v>16.436970967741935</v>
      </c>
      <c r="S941" s="38">
        <f>(S936*6+S937*7+S938*7+S939*7+S940*4)/31</f>
        <v>16.436970967741935</v>
      </c>
    </row>
    <row r="942" spans="1:19" s="12" customFormat="1" ht="16.5" customHeight="1">
      <c r="A942" s="20"/>
      <c r="B942" s="19">
        <v>2016</v>
      </c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39"/>
      <c r="P942" s="14"/>
      <c r="S942" s="15"/>
    </row>
    <row r="943" spans="1:19" s="12" customFormat="1" ht="16.5" customHeight="1">
      <c r="A943" s="3"/>
      <c r="B943" s="13" t="s">
        <v>212</v>
      </c>
      <c r="C943" s="7">
        <v>13.6406</v>
      </c>
      <c r="D943" s="7"/>
      <c r="E943" s="7">
        <v>14.8638</v>
      </c>
      <c r="F943" s="7">
        <v>15.9866</v>
      </c>
      <c r="G943" s="7">
        <v>22.2931</v>
      </c>
      <c r="H943" s="14">
        <v>14.6158</v>
      </c>
      <c r="I943" s="7">
        <v>10.2899</v>
      </c>
      <c r="J943" s="7">
        <v>11.9184</v>
      </c>
      <c r="K943" s="7"/>
      <c r="L943" s="7"/>
      <c r="M943" s="7"/>
      <c r="N943" s="7">
        <v>9.7517</v>
      </c>
      <c r="O943" s="8">
        <v>6.5209</v>
      </c>
      <c r="P943" s="7">
        <v>16.5051</v>
      </c>
      <c r="Q943" s="7">
        <v>16.5051</v>
      </c>
      <c r="R943" s="7">
        <v>16.5051</v>
      </c>
      <c r="S943" s="8">
        <v>16.5051</v>
      </c>
    </row>
    <row r="944" spans="1:19" s="12" customFormat="1" ht="16.5" customHeight="1">
      <c r="A944" s="3"/>
      <c r="B944" s="13" t="s">
        <v>336</v>
      </c>
      <c r="C944" s="7">
        <v>13.506</v>
      </c>
      <c r="D944" s="7"/>
      <c r="E944" s="7">
        <v>14.6707</v>
      </c>
      <c r="F944" s="7">
        <v>15.8084</v>
      </c>
      <c r="G944" s="7">
        <v>21.5305</v>
      </c>
      <c r="H944" s="14">
        <v>14.42</v>
      </c>
      <c r="I944" s="7">
        <v>9.9462</v>
      </c>
      <c r="J944" s="7">
        <v>11.6416</v>
      </c>
      <c r="K944" s="7"/>
      <c r="L944" s="7"/>
      <c r="M944" s="7"/>
      <c r="N944" s="7">
        <v>9.4256</v>
      </c>
      <c r="O944" s="8">
        <v>6.4477</v>
      </c>
      <c r="P944" s="7">
        <v>15.3979</v>
      </c>
      <c r="Q944" s="7">
        <v>15.3979</v>
      </c>
      <c r="R944" s="7">
        <v>15.3979</v>
      </c>
      <c r="S944" s="8">
        <v>15.3979</v>
      </c>
    </row>
    <row r="945" spans="1:19" s="12" customFormat="1" ht="16.5" customHeight="1">
      <c r="A945" s="3"/>
      <c r="B945" s="13" t="s">
        <v>337</v>
      </c>
      <c r="C945" s="7">
        <v>12.7665</v>
      </c>
      <c r="D945" s="7"/>
      <c r="E945" s="7">
        <v>13.97</v>
      </c>
      <c r="F945" s="7">
        <v>15.1824</v>
      </c>
      <c r="G945" s="7">
        <v>21.0566</v>
      </c>
      <c r="H945" s="14">
        <v>13.7182</v>
      </c>
      <c r="I945" s="7">
        <v>9.0786</v>
      </c>
      <c r="J945" s="7">
        <v>10.7018</v>
      </c>
      <c r="K945" s="7"/>
      <c r="L945" s="7"/>
      <c r="M945" s="7"/>
      <c r="N945" s="7">
        <v>8.3987</v>
      </c>
      <c r="O945" s="8">
        <v>5.9152</v>
      </c>
      <c r="P945" s="7">
        <v>14.955</v>
      </c>
      <c r="Q945" s="7">
        <v>14.955</v>
      </c>
      <c r="R945" s="7">
        <v>14.955</v>
      </c>
      <c r="S945" s="8">
        <v>14.955</v>
      </c>
    </row>
    <row r="946" spans="1:19" s="12" customFormat="1" ht="16.5" customHeight="1">
      <c r="A946" s="3"/>
      <c r="B946" s="13" t="s">
        <v>101</v>
      </c>
      <c r="C946" s="7">
        <v>12.1272</v>
      </c>
      <c r="D946" s="7"/>
      <c r="E946" s="7">
        <v>13.3881</v>
      </c>
      <c r="F946" s="7">
        <v>14.6644</v>
      </c>
      <c r="G946" s="7">
        <v>20.8968</v>
      </c>
      <c r="H946" s="14">
        <v>13.1367</v>
      </c>
      <c r="I946" s="7">
        <v>8.1709</v>
      </c>
      <c r="J946" s="7">
        <v>9.9194</v>
      </c>
      <c r="K946" s="7"/>
      <c r="L946" s="7"/>
      <c r="M946" s="7"/>
      <c r="N946" s="7">
        <v>7.4727</v>
      </c>
      <c r="O946" s="8">
        <v>5.6912</v>
      </c>
      <c r="P946" s="7">
        <v>14.955</v>
      </c>
      <c r="Q946" s="7">
        <v>14.955</v>
      </c>
      <c r="R946" s="7">
        <v>14.955</v>
      </c>
      <c r="S946" s="8">
        <v>14.955</v>
      </c>
    </row>
    <row r="947" spans="1:19" s="12" customFormat="1" ht="16.5" customHeight="1">
      <c r="A947" s="3"/>
      <c r="B947" s="13" t="s">
        <v>338</v>
      </c>
      <c r="C947" s="7">
        <v>12.2743</v>
      </c>
      <c r="D947" s="7"/>
      <c r="E947" s="7">
        <v>13.52</v>
      </c>
      <c r="F947" s="7">
        <v>14.7805</v>
      </c>
      <c r="G947" s="7">
        <v>20.9336</v>
      </c>
      <c r="H947" s="14">
        <v>13.2706</v>
      </c>
      <c r="I947" s="7">
        <v>8.6977</v>
      </c>
      <c r="J947" s="7">
        <v>10.4051</v>
      </c>
      <c r="K947" s="7"/>
      <c r="L947" s="7"/>
      <c r="M947" s="7"/>
      <c r="N947" s="7">
        <v>7.9012</v>
      </c>
      <c r="O947" s="8">
        <v>6.143</v>
      </c>
      <c r="P947" s="7">
        <v>14.955</v>
      </c>
      <c r="Q947" s="7">
        <v>14.955</v>
      </c>
      <c r="R947" s="7">
        <v>14.955</v>
      </c>
      <c r="S947" s="8">
        <v>14.955</v>
      </c>
    </row>
    <row r="948" spans="1:19" s="12" customFormat="1" ht="16.5" customHeight="1">
      <c r="A948" s="3"/>
      <c r="B948" s="4" t="s">
        <v>13</v>
      </c>
      <c r="C948" s="11">
        <f>(C943*3+C944*7+C945*7+C946*7+C947*7)/31</f>
        <v>12.762574193548387</v>
      </c>
      <c r="D948" s="11"/>
      <c r="E948" s="11">
        <f aca="true" t="shared" si="136" ref="E948:R948">(E943*3+E944*7+E945*7+E946*7+E947*7)/31</f>
        <v>13.981709677419355</v>
      </c>
      <c r="F948" s="11">
        <f t="shared" si="136"/>
        <v>15.19386129032258</v>
      </c>
      <c r="G948" s="11">
        <f t="shared" si="136"/>
        <v>21.219412903225805</v>
      </c>
      <c r="H948" s="11">
        <f t="shared" si="136"/>
        <v>13.73115806451613</v>
      </c>
      <c r="I948" s="11">
        <f t="shared" si="136"/>
        <v>9.100758064516128</v>
      </c>
      <c r="J948" s="11">
        <f t="shared" si="136"/>
        <v>10.788080645161289</v>
      </c>
      <c r="K948" s="11"/>
      <c r="L948" s="11"/>
      <c r="M948" s="11"/>
      <c r="N948" s="11">
        <f t="shared" si="136"/>
        <v>8.44008064516129</v>
      </c>
      <c r="O948" s="38">
        <f t="shared" si="136"/>
        <v>6.094916129032259</v>
      </c>
      <c r="P948" s="11">
        <f t="shared" si="136"/>
        <v>15.20501935483871</v>
      </c>
      <c r="Q948" s="11">
        <f t="shared" si="136"/>
        <v>15.20501935483871</v>
      </c>
      <c r="R948" s="48">
        <f t="shared" si="136"/>
        <v>15.20501935483871</v>
      </c>
      <c r="S948" s="38">
        <f>(S943*3+S944*7+S945*7+S946*7+S947*7)/31</f>
        <v>15.20501935483871</v>
      </c>
    </row>
    <row r="949" spans="1:19" s="12" customFormat="1" ht="16.5" customHeight="1">
      <c r="A949" s="3"/>
      <c r="B949" s="13" t="s">
        <v>221</v>
      </c>
      <c r="C949" s="7">
        <v>11.7569</v>
      </c>
      <c r="D949" s="7"/>
      <c r="E949" s="7">
        <v>12.9649</v>
      </c>
      <c r="F949" s="7">
        <v>14.1845</v>
      </c>
      <c r="G949" s="7">
        <v>20.1142</v>
      </c>
      <c r="H949" s="14">
        <v>12.7171</v>
      </c>
      <c r="I949" s="7">
        <v>9.4752</v>
      </c>
      <c r="J949" s="7">
        <v>11.0404</v>
      </c>
      <c r="K949" s="7"/>
      <c r="L949" s="7"/>
      <c r="M949" s="7"/>
      <c r="N949" s="7">
        <v>8.4922</v>
      </c>
      <c r="O949" s="8">
        <v>6.3712</v>
      </c>
      <c r="P949" s="7">
        <v>14.2553</v>
      </c>
      <c r="Q949" s="7">
        <v>14.2553</v>
      </c>
      <c r="R949" s="7">
        <v>14.2553</v>
      </c>
      <c r="S949" s="8">
        <v>14.2553</v>
      </c>
    </row>
    <row r="950" spans="1:19" s="12" customFormat="1" ht="16.5" customHeight="1">
      <c r="A950" s="3"/>
      <c r="B950" s="13" t="s">
        <v>339</v>
      </c>
      <c r="C950" s="7">
        <v>10.7296</v>
      </c>
      <c r="D950" s="7"/>
      <c r="E950" s="7">
        <v>12.0286</v>
      </c>
      <c r="F950" s="7">
        <v>13.3501</v>
      </c>
      <c r="G950" s="7">
        <v>19.8574</v>
      </c>
      <c r="H950" s="14">
        <v>11.7835</v>
      </c>
      <c r="I950" s="7">
        <v>9.1473</v>
      </c>
      <c r="J950" s="7">
        <v>10.8155</v>
      </c>
      <c r="K950" s="7"/>
      <c r="L950" s="7"/>
      <c r="M950" s="7"/>
      <c r="N950" s="7">
        <v>8.2654</v>
      </c>
      <c r="O950" s="8">
        <v>5.9851</v>
      </c>
      <c r="P950" s="7">
        <v>13.7306</v>
      </c>
      <c r="Q950" s="7">
        <v>13.7306</v>
      </c>
      <c r="R950" s="7">
        <v>13.7306</v>
      </c>
      <c r="S950" s="8">
        <v>13.7306</v>
      </c>
    </row>
    <row r="951" spans="1:19" s="12" customFormat="1" ht="16.5" customHeight="1">
      <c r="A951" s="3"/>
      <c r="B951" s="13" t="s">
        <v>340</v>
      </c>
      <c r="C951" s="7">
        <v>11.0024</v>
      </c>
      <c r="D951" s="7"/>
      <c r="E951" s="7">
        <v>12.2778</v>
      </c>
      <c r="F951" s="7">
        <v>13.5726</v>
      </c>
      <c r="G951" s="7">
        <v>19.9256</v>
      </c>
      <c r="H951" s="14">
        <v>12.0346</v>
      </c>
      <c r="I951" s="7">
        <v>9.6063</v>
      </c>
      <c r="J951" s="7">
        <v>11.2893</v>
      </c>
      <c r="K951" s="7"/>
      <c r="L951" s="7"/>
      <c r="M951" s="7"/>
      <c r="N951" s="7">
        <v>8.8205</v>
      </c>
      <c r="O951" s="8">
        <v>6.0911</v>
      </c>
      <c r="P951" s="7">
        <v>13.7306</v>
      </c>
      <c r="Q951" s="7">
        <v>13.7306</v>
      </c>
      <c r="R951" s="7">
        <v>13.7306</v>
      </c>
      <c r="S951" s="8">
        <v>13.7306</v>
      </c>
    </row>
    <row r="952" spans="1:19" s="12" customFormat="1" ht="16.5" customHeight="1">
      <c r="A952" s="3"/>
      <c r="B952" s="13" t="s">
        <v>341</v>
      </c>
      <c r="C952" s="7">
        <v>11.1475</v>
      </c>
      <c r="D952" s="7"/>
      <c r="E952" s="7">
        <v>12.4104</v>
      </c>
      <c r="F952" s="7">
        <v>13.691</v>
      </c>
      <c r="G952" s="7">
        <v>19.9619</v>
      </c>
      <c r="H952" s="14">
        <v>12.1665</v>
      </c>
      <c r="I952" s="7">
        <v>9.6927</v>
      </c>
      <c r="J952" s="7">
        <v>11.2695</v>
      </c>
      <c r="K952" s="7"/>
      <c r="L952" s="7"/>
      <c r="M952" s="7"/>
      <c r="N952" s="7">
        <v>8.8772</v>
      </c>
      <c r="O952" s="8">
        <v>6.0078</v>
      </c>
      <c r="P952" s="7">
        <v>13.7306</v>
      </c>
      <c r="Q952" s="7">
        <v>13.7306</v>
      </c>
      <c r="R952" s="7">
        <v>13.7306</v>
      </c>
      <c r="S952" s="8">
        <v>13.7306</v>
      </c>
    </row>
    <row r="953" spans="1:19" s="12" customFormat="1" ht="16.5" customHeight="1">
      <c r="A953" s="3"/>
      <c r="B953" s="13" t="s">
        <v>428</v>
      </c>
      <c r="C953" s="7">
        <v>11.763</v>
      </c>
      <c r="D953" s="7"/>
      <c r="E953" s="7">
        <v>12.9704</v>
      </c>
      <c r="F953" s="7">
        <v>14.1893</v>
      </c>
      <c r="G953" s="7">
        <v>20.1158</v>
      </c>
      <c r="H953" s="14">
        <v>12.7264</v>
      </c>
      <c r="I953" s="7">
        <v>9.8658</v>
      </c>
      <c r="J953" s="7">
        <v>11.3026</v>
      </c>
      <c r="K953" s="7"/>
      <c r="L953" s="7"/>
      <c r="M953" s="7"/>
      <c r="N953" s="7">
        <v>8.9966</v>
      </c>
      <c r="O953" s="8">
        <v>6.0801</v>
      </c>
      <c r="P953" s="7">
        <v>13.7306</v>
      </c>
      <c r="Q953" s="7">
        <v>13.7306</v>
      </c>
      <c r="R953" s="7">
        <v>13.7306</v>
      </c>
      <c r="S953" s="8">
        <v>13.7306</v>
      </c>
    </row>
    <row r="954" spans="1:19" s="12" customFormat="1" ht="16.5" customHeight="1">
      <c r="A954" s="3"/>
      <c r="B954" s="4" t="s">
        <v>13</v>
      </c>
      <c r="C954" s="11">
        <f>(C949*7+C950*7+C951*7+C952*7+C953*1)/29</f>
        <v>11.179924137931033</v>
      </c>
      <c r="D954" s="11"/>
      <c r="E954" s="11">
        <f aca="true" t="shared" si="137" ref="E954:R954">(E949*7+E950*7+E951*7+E952*7+E953*1)/29</f>
        <v>12.439389655172413</v>
      </c>
      <c r="F954" s="11">
        <f t="shared" si="137"/>
        <v>13.716437931034482</v>
      </c>
      <c r="G954" s="11">
        <f t="shared" si="137"/>
        <v>19.96998275862069</v>
      </c>
      <c r="H954" s="11">
        <f t="shared" si="137"/>
        <v>12.194424137931035</v>
      </c>
      <c r="I954" s="11">
        <f t="shared" si="137"/>
        <v>9.493665517241379</v>
      </c>
      <c r="J954" s="11">
        <f t="shared" si="137"/>
        <v>11.110534482758622</v>
      </c>
      <c r="K954" s="11"/>
      <c r="L954" s="11"/>
      <c r="M954" s="11"/>
      <c r="N954" s="11">
        <f t="shared" si="137"/>
        <v>8.627024137931034</v>
      </c>
      <c r="O954" s="38">
        <f t="shared" si="137"/>
        <v>6.112637931034482</v>
      </c>
      <c r="P954" s="11">
        <f t="shared" si="137"/>
        <v>13.857251724137928</v>
      </c>
      <c r="Q954" s="11">
        <f t="shared" si="137"/>
        <v>13.857251724137928</v>
      </c>
      <c r="R954" s="48">
        <f t="shared" si="137"/>
        <v>13.857251724137928</v>
      </c>
      <c r="S954" s="38">
        <f>(S949*7+S950*7+S951*7+S952*7+S953*1)/29</f>
        <v>13.857251724137928</v>
      </c>
    </row>
    <row r="955" spans="1:19" s="12" customFormat="1" ht="16.5" customHeight="1">
      <c r="A955" s="3"/>
      <c r="B955" s="13" t="s">
        <v>54</v>
      </c>
      <c r="C955" s="7">
        <v>11.8704</v>
      </c>
      <c r="D955" s="7"/>
      <c r="E955" s="7">
        <v>13.0712</v>
      </c>
      <c r="F955" s="7">
        <v>14.2831</v>
      </c>
      <c r="G955" s="7">
        <v>20.1726</v>
      </c>
      <c r="H955" s="14">
        <v>12.8278</v>
      </c>
      <c r="I955" s="7">
        <v>10.1596</v>
      </c>
      <c r="J955" s="7">
        <v>11.6568</v>
      </c>
      <c r="K955" s="7"/>
      <c r="L955" s="7"/>
      <c r="M955" s="7"/>
      <c r="N955" s="7">
        <v>9.3779</v>
      </c>
      <c r="O955" s="8">
        <v>6.1913</v>
      </c>
      <c r="P955" s="7">
        <v>13.7306</v>
      </c>
      <c r="Q955" s="7">
        <v>13.7306</v>
      </c>
      <c r="R955" s="7">
        <v>13.7306</v>
      </c>
      <c r="S955" s="8">
        <v>13.7306</v>
      </c>
    </row>
    <row r="956" spans="1:19" s="12" customFormat="1" ht="16.5" customHeight="1">
      <c r="A956" s="3"/>
      <c r="B956" s="13" t="s">
        <v>111</v>
      </c>
      <c r="C956" s="7">
        <v>12.7926</v>
      </c>
      <c r="D956" s="7"/>
      <c r="E956" s="7">
        <v>13.9092</v>
      </c>
      <c r="F956" s="7">
        <v>15.0282</v>
      </c>
      <c r="G956" s="7">
        <v>20.4032</v>
      </c>
      <c r="H956" s="14">
        <v>13.6669</v>
      </c>
      <c r="I956" s="7">
        <v>10.8145</v>
      </c>
      <c r="J956" s="7">
        <v>12.2836</v>
      </c>
      <c r="K956" s="7"/>
      <c r="L956" s="7"/>
      <c r="M956" s="7"/>
      <c r="N956" s="7">
        <v>10.1456</v>
      </c>
      <c r="O956" s="8">
        <v>6.7511</v>
      </c>
      <c r="P956" s="7">
        <v>13.6895</v>
      </c>
      <c r="Q956" s="7">
        <v>13.6895</v>
      </c>
      <c r="R956" s="7">
        <v>13.6895</v>
      </c>
      <c r="S956" s="8">
        <v>13.6895</v>
      </c>
    </row>
    <row r="957" spans="1:19" s="12" customFormat="1" ht="16.5" customHeight="1">
      <c r="A957" s="3"/>
      <c r="B957" s="13" t="s">
        <v>112</v>
      </c>
      <c r="C957" s="7">
        <v>12.9574</v>
      </c>
      <c r="D957" s="7"/>
      <c r="E957" s="7">
        <v>14.057</v>
      </c>
      <c r="F957" s="7">
        <v>15.1585</v>
      </c>
      <c r="G957" s="7">
        <v>20.4443</v>
      </c>
      <c r="H957" s="14">
        <v>13.8171</v>
      </c>
      <c r="I957" s="7">
        <v>10.9927</v>
      </c>
      <c r="J957" s="7">
        <v>12.4397</v>
      </c>
      <c r="K957" s="7"/>
      <c r="L957" s="7"/>
      <c r="M957" s="7"/>
      <c r="N957" s="7">
        <v>10.2721</v>
      </c>
      <c r="O957" s="8">
        <v>6.8905</v>
      </c>
      <c r="P957" s="7">
        <v>13.6826</v>
      </c>
      <c r="Q957" s="7">
        <v>13.6826</v>
      </c>
      <c r="R957" s="7">
        <v>13.6826</v>
      </c>
      <c r="S957" s="8">
        <v>13.6826</v>
      </c>
    </row>
    <row r="958" spans="1:19" s="12" customFormat="1" ht="16.5" customHeight="1">
      <c r="A958" s="3"/>
      <c r="B958" s="13" t="s">
        <v>113</v>
      </c>
      <c r="C958" s="7">
        <v>13.1534</v>
      </c>
      <c r="D958" s="7"/>
      <c r="E958" s="7">
        <v>14.2359</v>
      </c>
      <c r="F958" s="7">
        <v>15.3181</v>
      </c>
      <c r="G958" s="7">
        <v>20.4934</v>
      </c>
      <c r="H958" s="14">
        <v>13.9953</v>
      </c>
      <c r="I958" s="7">
        <v>11.1257</v>
      </c>
      <c r="J958" s="7">
        <v>12.6977</v>
      </c>
      <c r="K958" s="7"/>
      <c r="L958" s="7"/>
      <c r="M958" s="7"/>
      <c r="N958" s="7">
        <v>10.4487</v>
      </c>
      <c r="O958" s="8">
        <v>6.7511</v>
      </c>
      <c r="P958" s="7">
        <v>13.6826</v>
      </c>
      <c r="Q958" s="7">
        <v>13.6826</v>
      </c>
      <c r="R958" s="7">
        <v>13.6826</v>
      </c>
      <c r="S958" s="8">
        <v>13.6826</v>
      </c>
    </row>
    <row r="959" spans="1:19" s="12" customFormat="1" ht="16.5" customHeight="1">
      <c r="A959" s="3"/>
      <c r="B959" s="13" t="s">
        <v>114</v>
      </c>
      <c r="C959" s="7">
        <v>13.2715</v>
      </c>
      <c r="D959" s="7"/>
      <c r="E959" s="7">
        <v>14.3449</v>
      </c>
      <c r="F959" s="7">
        <v>15.416</v>
      </c>
      <c r="G959" s="7">
        <v>20.5229</v>
      </c>
      <c r="H959" s="14">
        <v>14.1025</v>
      </c>
      <c r="I959" s="7">
        <v>10.9889</v>
      </c>
      <c r="J959" s="7">
        <v>12.5002</v>
      </c>
      <c r="K959" s="7"/>
      <c r="L959" s="7"/>
      <c r="M959" s="7"/>
      <c r="N959" s="7">
        <v>10.2373</v>
      </c>
      <c r="O959" s="8">
        <v>7.0075</v>
      </c>
      <c r="P959" s="7">
        <v>13.6826</v>
      </c>
      <c r="Q959" s="7">
        <v>13.6826</v>
      </c>
      <c r="R959" s="7">
        <v>13.6826</v>
      </c>
      <c r="S959" s="8">
        <v>13.6826</v>
      </c>
    </row>
    <row r="960" spans="1:19" s="12" customFormat="1" ht="16.5" customHeight="1">
      <c r="A960" s="3"/>
      <c r="B960" s="4" t="s">
        <v>13</v>
      </c>
      <c r="C960" s="11">
        <f>(C955*6+C956*7+C957*7+C958*7+C959*4)/31</f>
        <v>12.794587096774194</v>
      </c>
      <c r="D960" s="11"/>
      <c r="E960" s="11">
        <f aca="true" t="shared" si="138" ref="E960:S960">(E955*6+E956*7+E957*7+E958*7+E959*4)/31</f>
        <v>13.910370967741935</v>
      </c>
      <c r="F960" s="11">
        <f t="shared" si="138"/>
        <v>15.028909677419353</v>
      </c>
      <c r="G960" s="11">
        <f t="shared" si="138"/>
        <v>20.403661290322578</v>
      </c>
      <c r="H960" s="11">
        <f t="shared" si="138"/>
        <v>13.668770967741935</v>
      </c>
      <c r="I960" s="11">
        <f t="shared" si="138"/>
        <v>10.82075806451613</v>
      </c>
      <c r="J960" s="11">
        <f t="shared" si="138"/>
        <v>12.318987096774194</v>
      </c>
      <c r="K960" s="11"/>
      <c r="L960" s="11"/>
      <c r="M960" s="11"/>
      <c r="N960" s="11">
        <f t="shared" si="138"/>
        <v>10.105851612903226</v>
      </c>
      <c r="O960" s="38">
        <f t="shared" si="138"/>
        <v>6.707312903225807</v>
      </c>
      <c r="P960" s="11">
        <f t="shared" si="138"/>
        <v>13.693448387096774</v>
      </c>
      <c r="Q960" s="11">
        <f t="shared" si="138"/>
        <v>13.693448387096774</v>
      </c>
      <c r="R960" s="48">
        <f t="shared" si="138"/>
        <v>13.693448387096774</v>
      </c>
      <c r="S960" s="38">
        <f t="shared" si="138"/>
        <v>13.693448387096774</v>
      </c>
    </row>
    <row r="961" spans="1:19" s="12" customFormat="1" ht="16.5" customHeight="1">
      <c r="A961" s="3"/>
      <c r="B961" s="13" t="s">
        <v>226</v>
      </c>
      <c r="C961" s="7">
        <v>12.8971</v>
      </c>
      <c r="D961" s="7"/>
      <c r="E961" s="7">
        <v>14.0178</v>
      </c>
      <c r="F961" s="7">
        <v>15.142</v>
      </c>
      <c r="G961" s="7">
        <v>20.5493</v>
      </c>
      <c r="H961" s="14">
        <v>13.7764</v>
      </c>
      <c r="I961" s="7">
        <v>10.8296</v>
      </c>
      <c r="J961" s="7">
        <v>12.1953</v>
      </c>
      <c r="K961" s="7"/>
      <c r="L961" s="7"/>
      <c r="M961" s="7"/>
      <c r="N961" s="7">
        <v>9.9138</v>
      </c>
      <c r="O961" s="8">
        <v>6.7932</v>
      </c>
      <c r="P961" s="7">
        <v>13.6826</v>
      </c>
      <c r="Q961" s="7">
        <v>13.6826</v>
      </c>
      <c r="R961" s="7">
        <v>13.6826</v>
      </c>
      <c r="S961" s="8">
        <v>13.6826</v>
      </c>
    </row>
    <row r="962" spans="1:19" s="12" customFormat="1" ht="16.5" customHeight="1">
      <c r="A962" s="3"/>
      <c r="B962" s="13" t="s">
        <v>115</v>
      </c>
      <c r="C962" s="7">
        <v>12.5913</v>
      </c>
      <c r="D962" s="7"/>
      <c r="E962" s="7">
        <v>13.7396</v>
      </c>
      <c r="F962" s="7">
        <v>14.8945</v>
      </c>
      <c r="G962" s="7">
        <v>20.4728</v>
      </c>
      <c r="H962" s="14">
        <v>13.4982</v>
      </c>
      <c r="I962" s="7">
        <v>10.5726</v>
      </c>
      <c r="J962" s="7">
        <v>12.0651</v>
      </c>
      <c r="K962" s="7"/>
      <c r="L962" s="7"/>
      <c r="M962" s="7"/>
      <c r="N962" s="7">
        <v>9.6509</v>
      </c>
      <c r="O962" s="8">
        <v>6.6886</v>
      </c>
      <c r="P962" s="7">
        <v>13.9297</v>
      </c>
      <c r="Q962" s="7">
        <v>13.9297</v>
      </c>
      <c r="R962" s="7">
        <v>13.9297</v>
      </c>
      <c r="S962" s="8">
        <v>13.9297</v>
      </c>
    </row>
    <row r="963" spans="1:19" s="12" customFormat="1" ht="16.5" customHeight="1">
      <c r="A963" s="3"/>
      <c r="B963" s="13" t="s">
        <v>116</v>
      </c>
      <c r="C963" s="7">
        <v>13.1977</v>
      </c>
      <c r="D963" s="7"/>
      <c r="E963" s="7">
        <v>14.2905</v>
      </c>
      <c r="F963" s="7">
        <v>15.3843</v>
      </c>
      <c r="G963" s="7">
        <v>20.6244</v>
      </c>
      <c r="H963" s="14">
        <v>14.05</v>
      </c>
      <c r="I963" s="7">
        <v>11.1571</v>
      </c>
      <c r="J963" s="7">
        <v>12.8533</v>
      </c>
      <c r="K963" s="7"/>
      <c r="L963" s="7"/>
      <c r="M963" s="7"/>
      <c r="N963" s="7">
        <v>10.4531</v>
      </c>
      <c r="O963" s="8">
        <v>7.1853</v>
      </c>
      <c r="P963" s="7">
        <v>14.0285</v>
      </c>
      <c r="Q963" s="7">
        <v>14.0285</v>
      </c>
      <c r="R963" s="7">
        <v>14.0285</v>
      </c>
      <c r="S963" s="8">
        <v>14.0285</v>
      </c>
    </row>
    <row r="964" spans="1:19" s="12" customFormat="1" ht="16.5" customHeight="1">
      <c r="A964" s="3"/>
      <c r="B964" s="13" t="s">
        <v>117</v>
      </c>
      <c r="C964" s="7">
        <v>12.994</v>
      </c>
      <c r="D964" s="7"/>
      <c r="E964" s="7">
        <v>14.1048</v>
      </c>
      <c r="F964" s="7">
        <v>15.2188</v>
      </c>
      <c r="G964" s="7">
        <v>20.5735</v>
      </c>
      <c r="H964" s="14">
        <v>13.8645</v>
      </c>
      <c r="I964" s="7">
        <v>11.3225</v>
      </c>
      <c r="J964" s="7">
        <v>12.0651</v>
      </c>
      <c r="K964" s="7"/>
      <c r="L964" s="7"/>
      <c r="M964" s="7"/>
      <c r="N964" s="7">
        <v>10.8441</v>
      </c>
      <c r="O964" s="8">
        <v>7.3014</v>
      </c>
      <c r="P964" s="7">
        <v>14.0285</v>
      </c>
      <c r="Q964" s="7">
        <v>14.0285</v>
      </c>
      <c r="R964" s="7">
        <v>14.0285</v>
      </c>
      <c r="S964" s="8">
        <v>14.0285</v>
      </c>
    </row>
    <row r="965" spans="1:19" s="12" customFormat="1" ht="16.5" customHeight="1">
      <c r="A965" s="3"/>
      <c r="B965" s="13" t="s">
        <v>119</v>
      </c>
      <c r="C965" s="7">
        <v>13.7485</v>
      </c>
      <c r="D965" s="7"/>
      <c r="E965" s="7">
        <v>14.7921</v>
      </c>
      <c r="F965" s="7">
        <v>15.8308</v>
      </c>
      <c r="G965" s="7">
        <v>20.7621</v>
      </c>
      <c r="H965" s="14">
        <v>14.5507</v>
      </c>
      <c r="I965" s="7">
        <v>12.0144</v>
      </c>
      <c r="J965" s="7">
        <v>13.9198</v>
      </c>
      <c r="K965" s="7"/>
      <c r="L965" s="7"/>
      <c r="M965" s="7"/>
      <c r="N965" s="7">
        <v>11.5961</v>
      </c>
      <c r="O965" s="8">
        <v>7.8497</v>
      </c>
      <c r="P965" s="7">
        <v>14.0285</v>
      </c>
      <c r="Q965" s="7">
        <v>14.0285</v>
      </c>
      <c r="R965" s="7">
        <v>14.0285</v>
      </c>
      <c r="S965" s="8">
        <v>14.0285</v>
      </c>
    </row>
    <row r="966" spans="1:19" s="12" customFormat="1" ht="16.5" customHeight="1">
      <c r="A966" s="3"/>
      <c r="B966" s="4" t="s">
        <v>13</v>
      </c>
      <c r="C966" s="11">
        <f>(C961*3+C962*7+C963*7+C964*7+C965*6)/30</f>
        <v>13.088776666666664</v>
      </c>
      <c r="D966" s="11"/>
      <c r="E966" s="11">
        <f aca="true" t="shared" si="139" ref="E966:R966">(E961*3+E962*7+E963*7+E964*7+E965*6)/30</f>
        <v>14.191676666666668</v>
      </c>
      <c r="F966" s="11">
        <f t="shared" si="139"/>
        <v>15.296466666666669</v>
      </c>
      <c r="G966" s="11">
        <f t="shared" si="139"/>
        <v>20.597179999999998</v>
      </c>
      <c r="H966" s="11">
        <f t="shared" si="139"/>
        <v>13.950743333333337</v>
      </c>
      <c r="I966" s="11">
        <f t="shared" si="139"/>
        <v>11.198020000000001</v>
      </c>
      <c r="J966" s="11">
        <f t="shared" si="139"/>
        <v>12.632973333333332</v>
      </c>
      <c r="K966" s="11"/>
      <c r="L966" s="11"/>
      <c r="M966" s="11"/>
      <c r="N966" s="11">
        <f t="shared" si="139"/>
        <v>10.531823333333332</v>
      </c>
      <c r="O966" s="38">
        <f t="shared" si="139"/>
        <v>7.1901633333333335</v>
      </c>
      <c r="P966" s="11">
        <f t="shared" si="139"/>
        <v>13.970856666666666</v>
      </c>
      <c r="Q966" s="11">
        <f>(Q961*3+Q962*7+Q963*7+Q964*7+Q965*6)/30</f>
        <v>13.970856666666666</v>
      </c>
      <c r="R966" s="48">
        <f t="shared" si="139"/>
        <v>13.970856666666666</v>
      </c>
      <c r="S966" s="38">
        <f>(S961*3+S962*7+S963*7+S964*7+S965*6)/30</f>
        <v>13.970856666666666</v>
      </c>
    </row>
    <row r="967" spans="1:19" s="12" customFormat="1" ht="16.5" customHeight="1">
      <c r="A967" s="3"/>
      <c r="B967" s="13" t="s">
        <v>230</v>
      </c>
      <c r="C967" s="7">
        <v>14.1197</v>
      </c>
      <c r="D967" s="7"/>
      <c r="E967" s="7">
        <v>15.1289</v>
      </c>
      <c r="F967" s="7">
        <v>16.13</v>
      </c>
      <c r="G967" s="7">
        <v>20.8549</v>
      </c>
      <c r="H967" s="14">
        <v>14.8885</v>
      </c>
      <c r="I967" s="7">
        <v>12.4897</v>
      </c>
      <c r="J967" s="7">
        <v>14.2979</v>
      </c>
      <c r="K967" s="7"/>
      <c r="L967" s="7"/>
      <c r="M967" s="7"/>
      <c r="N967" s="7">
        <v>12.0046</v>
      </c>
      <c r="O967" s="8">
        <v>8.2673</v>
      </c>
      <c r="P967" s="7">
        <v>14.0285</v>
      </c>
      <c r="Q967" s="7">
        <v>14.0285</v>
      </c>
      <c r="R967" s="7">
        <v>14.0285</v>
      </c>
      <c r="S967" s="8">
        <v>14.0285</v>
      </c>
    </row>
    <row r="968" spans="1:19" s="12" customFormat="1" ht="16.5" customHeight="1">
      <c r="A968" s="3"/>
      <c r="B968" s="13" t="s">
        <v>121</v>
      </c>
      <c r="C968" s="7">
        <v>13.7332</v>
      </c>
      <c r="D968" s="7"/>
      <c r="E968" s="7">
        <v>14.7776</v>
      </c>
      <c r="F968" s="7">
        <v>15.8177</v>
      </c>
      <c r="G968" s="7">
        <v>20.7583</v>
      </c>
      <c r="H968" s="14">
        <v>14.5368</v>
      </c>
      <c r="I968" s="7">
        <v>12.0647</v>
      </c>
      <c r="J968" s="7">
        <v>13.9139</v>
      </c>
      <c r="K968" s="7"/>
      <c r="L968" s="7"/>
      <c r="M968" s="7"/>
      <c r="N968" s="7">
        <v>11.6119</v>
      </c>
      <c r="O968" s="8">
        <v>8.0994</v>
      </c>
      <c r="P968" s="7">
        <v>13.926</v>
      </c>
      <c r="Q968" s="7">
        <v>13.926</v>
      </c>
      <c r="R968" s="7">
        <v>13.926</v>
      </c>
      <c r="S968" s="8">
        <v>13.926</v>
      </c>
    </row>
    <row r="969" spans="1:19" s="12" customFormat="1" ht="16.5" customHeight="1">
      <c r="A969" s="3"/>
      <c r="B969" s="13" t="s">
        <v>123</v>
      </c>
      <c r="C969" s="7">
        <v>13.6966</v>
      </c>
      <c r="D969" s="7"/>
      <c r="E969" s="7">
        <v>14.7455</v>
      </c>
      <c r="F969" s="7">
        <v>15.7898</v>
      </c>
      <c r="G969" s="7">
        <v>20.7492</v>
      </c>
      <c r="H969" s="14">
        <v>14.5034</v>
      </c>
      <c r="I969" s="7">
        <v>11.9595</v>
      </c>
      <c r="J969" s="7">
        <v>13.9387</v>
      </c>
      <c r="K969" s="7"/>
      <c r="L969" s="7"/>
      <c r="M969" s="7"/>
      <c r="N969" s="7">
        <v>11.689</v>
      </c>
      <c r="O969" s="8">
        <v>8.1397</v>
      </c>
      <c r="P969" s="7">
        <v>13.9089</v>
      </c>
      <c r="Q969" s="7">
        <v>13.9089</v>
      </c>
      <c r="R969" s="7">
        <v>13.9089</v>
      </c>
      <c r="S969" s="8">
        <v>13.9089</v>
      </c>
    </row>
    <row r="970" spans="1:19" s="12" customFormat="1" ht="16.5" customHeight="1">
      <c r="A970" s="3"/>
      <c r="B970" s="13" t="s">
        <v>125</v>
      </c>
      <c r="C970" s="7">
        <v>14.5398</v>
      </c>
      <c r="D970" s="7"/>
      <c r="E970" s="7">
        <v>15.5146</v>
      </c>
      <c r="F970" s="7">
        <v>16.4756</v>
      </c>
      <c r="G970" s="7">
        <v>20.9599</v>
      </c>
      <c r="H970" s="14">
        <v>15.2702</v>
      </c>
      <c r="I970" s="7">
        <v>12.8389</v>
      </c>
      <c r="J970" s="7">
        <v>14.8043</v>
      </c>
      <c r="K970" s="7"/>
      <c r="L970" s="7"/>
      <c r="M970" s="7"/>
      <c r="N970" s="7">
        <v>12.4725</v>
      </c>
      <c r="O970" s="8">
        <v>8.5571</v>
      </c>
      <c r="P970" s="7">
        <v>13.9089</v>
      </c>
      <c r="Q970" s="7">
        <v>13.9089</v>
      </c>
      <c r="R970" s="7">
        <v>13.9089</v>
      </c>
      <c r="S970" s="8">
        <v>13.9089</v>
      </c>
    </row>
    <row r="971" spans="1:19" s="12" customFormat="1" ht="16.5" customHeight="1">
      <c r="A971" s="3"/>
      <c r="B971" s="13" t="s">
        <v>126</v>
      </c>
      <c r="C971" s="7">
        <v>14.849</v>
      </c>
      <c r="D971" s="7"/>
      <c r="E971" s="7">
        <v>15.7967</v>
      </c>
      <c r="F971" s="7">
        <v>16.7271</v>
      </c>
      <c r="G971" s="7">
        <v>21.0373</v>
      </c>
      <c r="H971" s="14">
        <v>15.5514</v>
      </c>
      <c r="I971" s="7">
        <v>13.3365</v>
      </c>
      <c r="J971" s="7">
        <v>15.222</v>
      </c>
      <c r="K971" s="7"/>
      <c r="L971" s="7"/>
      <c r="M971" s="7"/>
      <c r="N971" s="7">
        <v>12.8252</v>
      </c>
      <c r="O971" s="8">
        <v>8.6355</v>
      </c>
      <c r="P971" s="7">
        <v>13.9089</v>
      </c>
      <c r="Q971" s="7">
        <v>13.9089</v>
      </c>
      <c r="R971" s="7">
        <v>13.9089</v>
      </c>
      <c r="S971" s="8">
        <v>13.9089</v>
      </c>
    </row>
    <row r="972" spans="1:19" s="12" customFormat="1" ht="16.5" customHeight="1">
      <c r="A972" s="3"/>
      <c r="B972" s="13" t="s">
        <v>127</v>
      </c>
      <c r="C972" s="7">
        <v>14.7778</v>
      </c>
      <c r="D972" s="7"/>
      <c r="E972" s="7">
        <v>15.7321</v>
      </c>
      <c r="F972" s="7">
        <v>16.6696</v>
      </c>
      <c r="G972" s="7">
        <v>21.0195</v>
      </c>
      <c r="H972" s="14">
        <v>15.4865</v>
      </c>
      <c r="I972" s="7">
        <v>13.3925</v>
      </c>
      <c r="J972" s="7">
        <v>15.2644</v>
      </c>
      <c r="K972" s="7"/>
      <c r="L972" s="7"/>
      <c r="M972" s="7"/>
      <c r="N972" s="7">
        <v>12.8642</v>
      </c>
      <c r="O972" s="8">
        <v>8.6274</v>
      </c>
      <c r="P972" s="7">
        <v>13.9089</v>
      </c>
      <c r="Q972" s="7">
        <v>13.9089</v>
      </c>
      <c r="R972" s="7">
        <v>13.9089</v>
      </c>
      <c r="S972" s="8">
        <v>13.9089</v>
      </c>
    </row>
    <row r="973" spans="1:19" s="12" customFormat="1" ht="16.5" customHeight="1">
      <c r="A973" s="3"/>
      <c r="B973" s="4" t="s">
        <v>13</v>
      </c>
      <c r="C973" s="11">
        <f>(C967*1+C968*7+C969*7+C970*7+C971*7+C972*2)/31</f>
        <v>14.238887096774192</v>
      </c>
      <c r="D973" s="11"/>
      <c r="E973" s="11">
        <f aca="true" t="shared" si="140" ref="E973:S973">(E967*1+E968*7+E969*7+E970*7+E971*7+E972*2)/31</f>
        <v>15.239803225806451</v>
      </c>
      <c r="F973" s="11">
        <f t="shared" si="140"/>
        <v>16.23034193548387</v>
      </c>
      <c r="G973" s="11">
        <f t="shared" si="140"/>
        <v>20.884735483870966</v>
      </c>
      <c r="H973" s="11">
        <f t="shared" si="140"/>
        <v>14.996583870967742</v>
      </c>
      <c r="I973" s="11">
        <f t="shared" si="140"/>
        <v>12.602319354838711</v>
      </c>
      <c r="J973" s="11">
        <f t="shared" si="140"/>
        <v>14.515451612903226</v>
      </c>
      <c r="K973" s="11"/>
      <c r="L973" s="11"/>
      <c r="M973" s="11"/>
      <c r="N973" s="11">
        <f t="shared" si="140"/>
        <v>12.191070967741938</v>
      </c>
      <c r="O973" s="38">
        <f t="shared" si="140"/>
        <v>8.372387096774194</v>
      </c>
      <c r="P973" s="11">
        <f t="shared" si="140"/>
        <v>13.916619354838708</v>
      </c>
      <c r="Q973" s="11">
        <f>(Q967*1+Q968*7+Q969*7+Q970*7+Q971*7+Q972*2)/31</f>
        <v>13.916619354838708</v>
      </c>
      <c r="R973" s="48">
        <f t="shared" si="140"/>
        <v>13.916619354838708</v>
      </c>
      <c r="S973" s="38">
        <f t="shared" si="140"/>
        <v>13.916619354838708</v>
      </c>
    </row>
    <row r="974" spans="1:19" s="12" customFormat="1" ht="16.5" customHeight="1">
      <c r="A974" s="3"/>
      <c r="B974" s="13" t="s">
        <v>233</v>
      </c>
      <c r="C974" s="7">
        <v>14.6814</v>
      </c>
      <c r="D974" s="7"/>
      <c r="E974" s="7">
        <v>15.6154</v>
      </c>
      <c r="F974" s="7">
        <v>16.5304</v>
      </c>
      <c r="G974" s="7">
        <v>20.7554</v>
      </c>
      <c r="H974" s="14">
        <v>15.3701</v>
      </c>
      <c r="I974" s="7">
        <v>13.4114</v>
      </c>
      <c r="J974" s="7">
        <v>15.3829</v>
      </c>
      <c r="K974" s="7"/>
      <c r="L974" s="7"/>
      <c r="M974" s="7"/>
      <c r="N974" s="7">
        <v>12.9919</v>
      </c>
      <c r="O974" s="8">
        <v>8.6943</v>
      </c>
      <c r="P974" s="7">
        <v>13.9126</v>
      </c>
      <c r="Q974" s="7">
        <v>13.9126</v>
      </c>
      <c r="R974" s="7">
        <v>13.9126</v>
      </c>
      <c r="S974" s="8">
        <v>13.9126</v>
      </c>
    </row>
    <row r="975" spans="1:19" s="12" customFormat="1" ht="16.5" customHeight="1">
      <c r="A975" s="3"/>
      <c r="B975" s="13" t="s">
        <v>128</v>
      </c>
      <c r="C975" s="7">
        <v>14.5161</v>
      </c>
      <c r="D975" s="7"/>
      <c r="E975" s="7">
        <v>15.4627</v>
      </c>
      <c r="F975" s="7">
        <v>16.3932</v>
      </c>
      <c r="G975" s="7">
        <v>20.714</v>
      </c>
      <c r="H975" s="14">
        <v>15.2201</v>
      </c>
      <c r="I975" s="7">
        <v>13.5302</v>
      </c>
      <c r="J975" s="7">
        <v>15.5566</v>
      </c>
      <c r="K975" s="7"/>
      <c r="L975" s="7"/>
      <c r="M975" s="7"/>
      <c r="N975" s="7">
        <v>13.2028</v>
      </c>
      <c r="O975" s="8">
        <v>8.9332</v>
      </c>
      <c r="P975" s="7">
        <v>13.915</v>
      </c>
      <c r="Q975" s="7">
        <v>13.915</v>
      </c>
      <c r="R975" s="7">
        <v>13.915</v>
      </c>
      <c r="S975" s="8">
        <v>13.915</v>
      </c>
    </row>
    <row r="976" spans="1:19" s="12" customFormat="1" ht="16.5" customHeight="1">
      <c r="A976" s="3"/>
      <c r="B976" s="13" t="s">
        <v>130</v>
      </c>
      <c r="C976" s="7">
        <v>14.0597</v>
      </c>
      <c r="D976" s="7"/>
      <c r="E976" s="7">
        <v>15.0471</v>
      </c>
      <c r="F976" s="7">
        <v>16.0232</v>
      </c>
      <c r="G976" s="7">
        <v>20.5999</v>
      </c>
      <c r="H976" s="14">
        <v>14.8049</v>
      </c>
      <c r="I976" s="7">
        <v>13.2622</v>
      </c>
      <c r="J976" s="7">
        <v>15.2185</v>
      </c>
      <c r="K976" s="7"/>
      <c r="L976" s="7"/>
      <c r="M976" s="7"/>
      <c r="N976" s="7">
        <v>12.8425</v>
      </c>
      <c r="O976" s="8">
        <v>8.7624</v>
      </c>
      <c r="P976" s="7">
        <v>13.915</v>
      </c>
      <c r="Q976" s="7">
        <v>13.915</v>
      </c>
      <c r="R976" s="7">
        <v>13.915</v>
      </c>
      <c r="S976" s="8">
        <v>13.915</v>
      </c>
    </row>
    <row r="977" spans="1:19" s="12" customFormat="1" ht="16.5" customHeight="1">
      <c r="A977" s="3"/>
      <c r="B977" s="13" t="s">
        <v>131</v>
      </c>
      <c r="C977" s="7">
        <v>14.2311</v>
      </c>
      <c r="D977" s="7"/>
      <c r="E977" s="7">
        <v>15.2032</v>
      </c>
      <c r="F977" s="7">
        <v>16.1622</v>
      </c>
      <c r="G977" s="7">
        <v>20.6428</v>
      </c>
      <c r="H977" s="14">
        <v>14.9609</v>
      </c>
      <c r="I977" s="7">
        <v>13.2609</v>
      </c>
      <c r="J977" s="7">
        <v>15.2735</v>
      </c>
      <c r="K977" s="7"/>
      <c r="L977" s="7"/>
      <c r="M977" s="7"/>
      <c r="N977" s="7">
        <v>12.8402</v>
      </c>
      <c r="O977" s="8">
        <v>8.9892</v>
      </c>
      <c r="P977" s="7">
        <v>13.915</v>
      </c>
      <c r="Q977" s="7">
        <v>13.915</v>
      </c>
      <c r="R977" s="7">
        <v>13.915</v>
      </c>
      <c r="S977" s="8">
        <v>13.915</v>
      </c>
    </row>
    <row r="978" spans="1:19" s="12" customFormat="1" ht="16.5" customHeight="1">
      <c r="A978" s="3"/>
      <c r="B978" s="13" t="s">
        <v>133</v>
      </c>
      <c r="C978" s="7">
        <v>13.9672</v>
      </c>
      <c r="D978" s="7"/>
      <c r="E978" s="7">
        <v>14.9635</v>
      </c>
      <c r="F978" s="7">
        <v>15.9491</v>
      </c>
      <c r="G978" s="7">
        <v>20.5768</v>
      </c>
      <c r="H978" s="14">
        <v>14.7207</v>
      </c>
      <c r="I978" s="7">
        <v>13.034</v>
      </c>
      <c r="J978" s="7">
        <v>15.1804</v>
      </c>
      <c r="K978" s="7"/>
      <c r="L978" s="7"/>
      <c r="M978" s="7"/>
      <c r="N978" s="7">
        <v>12.6745</v>
      </c>
      <c r="O978" s="8">
        <v>9.0616</v>
      </c>
      <c r="P978" s="7">
        <v>13.915</v>
      </c>
      <c r="Q978" s="7">
        <v>13.915</v>
      </c>
      <c r="R978" s="7">
        <v>13.915</v>
      </c>
      <c r="S978" s="8">
        <v>13.915</v>
      </c>
    </row>
    <row r="979" spans="1:19" s="12" customFormat="1" ht="16.5" customHeight="1">
      <c r="A979" s="3"/>
      <c r="B979" s="4" t="s">
        <v>13</v>
      </c>
      <c r="C979" s="11">
        <f>(C974*5+C975*7+C976*7+C977*7+C978*4)/30</f>
        <v>14.29747</v>
      </c>
      <c r="D979" s="11"/>
      <c r="E979" s="11">
        <f aca="true" t="shared" si="141" ref="E979:S979">(E974*5+E975*7+E976*7+E977*7+E978*4)/30</f>
        <v>15.264066666666666</v>
      </c>
      <c r="F979" s="11">
        <f t="shared" si="141"/>
        <v>16.21662</v>
      </c>
      <c r="G979" s="11">
        <f t="shared" si="141"/>
        <v>20.659370000000003</v>
      </c>
      <c r="H979" s="11">
        <f t="shared" si="141"/>
        <v>15.021153333333332</v>
      </c>
      <c r="I979" s="11">
        <f t="shared" si="141"/>
        <v>13.31887</v>
      </c>
      <c r="J979" s="11">
        <f t="shared" si="141"/>
        <v>15.332543333333332</v>
      </c>
      <c r="K979" s="11"/>
      <c r="L979" s="11"/>
      <c r="M979" s="11"/>
      <c r="N979" s="11">
        <f t="shared" si="141"/>
        <v>12.92853333333333</v>
      </c>
      <c r="O979" s="38">
        <f t="shared" si="141"/>
        <v>8.883716666666665</v>
      </c>
      <c r="P979" s="11">
        <f t="shared" si="141"/>
        <v>13.9146</v>
      </c>
      <c r="Q979" s="11">
        <f t="shared" si="141"/>
        <v>13.9146</v>
      </c>
      <c r="R979" s="48">
        <f t="shared" si="141"/>
        <v>13.9146</v>
      </c>
      <c r="S979" s="38">
        <f t="shared" si="141"/>
        <v>13.9146</v>
      </c>
    </row>
    <row r="980" spans="1:19" s="12" customFormat="1" ht="16.5" customHeight="1">
      <c r="A980" s="3"/>
      <c r="B980" s="13" t="s">
        <v>238</v>
      </c>
      <c r="C980" s="7">
        <v>13.7918</v>
      </c>
      <c r="D980" s="7"/>
      <c r="E980" s="7">
        <v>14.8048</v>
      </c>
      <c r="F980" s="7">
        <v>15.8095</v>
      </c>
      <c r="G980" s="7">
        <v>20.5479</v>
      </c>
      <c r="H980" s="14">
        <v>14.5631</v>
      </c>
      <c r="I980" s="7">
        <v>13.1904</v>
      </c>
      <c r="J980" s="7">
        <v>15.4379</v>
      </c>
      <c r="K980" s="7"/>
      <c r="L980" s="7"/>
      <c r="M980" s="7"/>
      <c r="N980" s="7">
        <v>12.9539</v>
      </c>
      <c r="O980" s="8">
        <v>9.4958</v>
      </c>
      <c r="P980" s="7">
        <v>13.915</v>
      </c>
      <c r="Q980" s="7">
        <v>13.915</v>
      </c>
      <c r="R980" s="7">
        <v>13.915</v>
      </c>
      <c r="S980" s="8">
        <v>13.915</v>
      </c>
    </row>
    <row r="981" spans="1:19" s="12" customFormat="1" ht="16.5" customHeight="1">
      <c r="A981" s="3"/>
      <c r="B981" s="13" t="s">
        <v>346</v>
      </c>
      <c r="C981" s="7">
        <v>13.3271</v>
      </c>
      <c r="D981" s="7"/>
      <c r="E981" s="7">
        <v>14.3819</v>
      </c>
      <c r="F981" s="7">
        <v>15.433</v>
      </c>
      <c r="G981" s="7">
        <v>20.4318</v>
      </c>
      <c r="H981" s="14">
        <v>14.1404</v>
      </c>
      <c r="I981" s="7">
        <v>13.0775</v>
      </c>
      <c r="J981" s="7">
        <v>15.3328</v>
      </c>
      <c r="K981" s="7"/>
      <c r="L981" s="7"/>
      <c r="M981" s="7"/>
      <c r="N981" s="7">
        <v>12.8061</v>
      </c>
      <c r="O981" s="8">
        <v>9.2972</v>
      </c>
      <c r="P981" s="7">
        <v>13.6318</v>
      </c>
      <c r="Q981" s="7">
        <v>13.6318</v>
      </c>
      <c r="R981" s="7">
        <v>13.6318</v>
      </c>
      <c r="S981" s="8">
        <v>13.6318</v>
      </c>
    </row>
    <row r="982" spans="1:19" s="12" customFormat="1" ht="16.5" customHeight="1">
      <c r="A982" s="3"/>
      <c r="B982" s="13" t="s">
        <v>135</v>
      </c>
      <c r="C982" s="7">
        <v>12.5448</v>
      </c>
      <c r="D982" s="7"/>
      <c r="E982" s="7">
        <v>13.67</v>
      </c>
      <c r="F982" s="7">
        <v>14.7992</v>
      </c>
      <c r="G982" s="7">
        <v>20.2362</v>
      </c>
      <c r="H982" s="14">
        <v>13.429</v>
      </c>
      <c r="I982" s="7">
        <v>12.5408</v>
      </c>
      <c r="J982" s="7">
        <v>14.8067</v>
      </c>
      <c r="K982" s="7"/>
      <c r="L982" s="7"/>
      <c r="M982" s="7"/>
      <c r="N982" s="7">
        <v>12.2158</v>
      </c>
      <c r="O982" s="8">
        <v>9.1454</v>
      </c>
      <c r="P982" s="7">
        <v>13.2543</v>
      </c>
      <c r="Q982" s="7">
        <v>13.2543</v>
      </c>
      <c r="R982" s="7">
        <v>13.2543</v>
      </c>
      <c r="S982" s="8">
        <v>13.2543</v>
      </c>
    </row>
    <row r="983" spans="1:19" s="12" customFormat="1" ht="16.5" customHeight="1">
      <c r="A983" s="3"/>
      <c r="B983" s="13" t="s">
        <v>136</v>
      </c>
      <c r="C983" s="7">
        <v>12.5351</v>
      </c>
      <c r="D983" s="7"/>
      <c r="E983" s="7">
        <v>13.6603</v>
      </c>
      <c r="F983" s="7">
        <v>14.7902</v>
      </c>
      <c r="G983" s="7">
        <v>20.2338</v>
      </c>
      <c r="H983" s="14">
        <v>13.4206</v>
      </c>
      <c r="I983" s="7">
        <v>12.2931</v>
      </c>
      <c r="J983" s="7">
        <v>14.5189</v>
      </c>
      <c r="K983" s="7"/>
      <c r="L983" s="7"/>
      <c r="M983" s="7"/>
      <c r="N983" s="7">
        <v>11.9007</v>
      </c>
      <c r="O983" s="8">
        <v>8.9507</v>
      </c>
      <c r="P983" s="7">
        <v>13.2543</v>
      </c>
      <c r="Q983" s="7">
        <v>13.2543</v>
      </c>
      <c r="R983" s="7">
        <v>13.2543</v>
      </c>
      <c r="S983" s="8">
        <v>13.2543</v>
      </c>
    </row>
    <row r="984" spans="1:19" s="12" customFormat="1" ht="16.5" customHeight="1">
      <c r="A984" s="3"/>
      <c r="B984" s="13" t="s">
        <v>137</v>
      </c>
      <c r="C984" s="7">
        <v>12.0621</v>
      </c>
      <c r="D984" s="7"/>
      <c r="E984" s="7">
        <v>13.2296</v>
      </c>
      <c r="F984" s="7">
        <v>14.4066</v>
      </c>
      <c r="G984" s="7">
        <v>20.1155</v>
      </c>
      <c r="H984" s="14">
        <v>12.9904</v>
      </c>
      <c r="I984" s="7">
        <v>11.733</v>
      </c>
      <c r="J984" s="7">
        <v>13.5472</v>
      </c>
      <c r="K984" s="7"/>
      <c r="L984" s="7"/>
      <c r="M984" s="7"/>
      <c r="N984" s="7">
        <v>11.3152</v>
      </c>
      <c r="O984" s="8">
        <v>8.4724</v>
      </c>
      <c r="P984" s="7">
        <v>13.2543</v>
      </c>
      <c r="Q984" s="7">
        <v>13.2543</v>
      </c>
      <c r="R984" s="7">
        <v>13.2543</v>
      </c>
      <c r="S984" s="8">
        <v>13.2543</v>
      </c>
    </row>
    <row r="985" spans="1:19" s="12" customFormat="1" ht="16.5" customHeight="1">
      <c r="A985" s="3"/>
      <c r="B985" s="4" t="s">
        <v>13</v>
      </c>
      <c r="C985" s="11">
        <f>(C980*3+C981*7+C982*7+C983*7+C984*7)/31</f>
        <v>12.73093870967742</v>
      </c>
      <c r="D985" s="11"/>
      <c r="E985" s="11">
        <f aca="true" t="shared" si="142" ref="E985:S985">(E980*3+E981*7+E982*7+E983*7+E984*7)/31</f>
        <v>13.838935483870966</v>
      </c>
      <c r="F985" s="11">
        <f t="shared" si="142"/>
        <v>14.949403225806453</v>
      </c>
      <c r="G985" s="11">
        <f t="shared" si="142"/>
        <v>20.28273548387097</v>
      </c>
      <c r="H985" s="11">
        <f t="shared" si="142"/>
        <v>13.598454838709676</v>
      </c>
      <c r="I985" s="11">
        <f t="shared" si="142"/>
        <v>12.486516129032259</v>
      </c>
      <c r="J985" s="11">
        <f t="shared" si="142"/>
        <v>14.637190322580645</v>
      </c>
      <c r="K985" s="11"/>
      <c r="L985" s="11"/>
      <c r="M985" s="11"/>
      <c r="N985" s="11">
        <f t="shared" si="142"/>
        <v>12.146009677419354</v>
      </c>
      <c r="O985" s="38">
        <f t="shared" si="142"/>
        <v>9.017654838709678</v>
      </c>
      <c r="P985" s="11">
        <f>(P980*3+P981*7+P982*7+P983*7+P984*7)/31</f>
        <v>13.40348064516129</v>
      </c>
      <c r="Q985" s="11">
        <f t="shared" si="142"/>
        <v>13.40348064516129</v>
      </c>
      <c r="R985" s="48">
        <f t="shared" si="142"/>
        <v>13.40348064516129</v>
      </c>
      <c r="S985" s="38">
        <f t="shared" si="142"/>
        <v>13.40348064516129</v>
      </c>
    </row>
    <row r="986" spans="1:19" s="12" customFormat="1" ht="16.5" customHeight="1">
      <c r="A986" s="3"/>
      <c r="B986" s="13" t="s">
        <v>244</v>
      </c>
      <c r="C986" s="7">
        <v>11.7508</v>
      </c>
      <c r="D986" s="7"/>
      <c r="E986" s="7">
        <v>12.997</v>
      </c>
      <c r="F986" s="7">
        <v>14.2618</v>
      </c>
      <c r="G986" s="7">
        <v>20.4652</v>
      </c>
      <c r="H986" s="14">
        <v>12.7586</v>
      </c>
      <c r="I986" s="7">
        <v>11.0511</v>
      </c>
      <c r="J986" s="7">
        <v>12.9449</v>
      </c>
      <c r="K986" s="7"/>
      <c r="L986" s="7"/>
      <c r="M986" s="7"/>
      <c r="N986" s="7">
        <v>10.6858</v>
      </c>
      <c r="O986" s="8">
        <v>8.0774</v>
      </c>
      <c r="P986" s="7">
        <v>12.9748</v>
      </c>
      <c r="Q986" s="7">
        <v>12.9748</v>
      </c>
      <c r="R986" s="7">
        <v>12.9748</v>
      </c>
      <c r="S986" s="8">
        <v>12.9748</v>
      </c>
    </row>
    <row r="987" spans="1:19" s="12" customFormat="1" ht="16.5" customHeight="1">
      <c r="A987" s="3"/>
      <c r="B987" s="13" t="s">
        <v>139</v>
      </c>
      <c r="C987" s="7">
        <v>12.1617</v>
      </c>
      <c r="D987" s="7"/>
      <c r="E987" s="7">
        <v>13.3709</v>
      </c>
      <c r="F987" s="7">
        <v>14.5946</v>
      </c>
      <c r="G987" s="7">
        <v>20.5679</v>
      </c>
      <c r="H987" s="14">
        <v>13.1325</v>
      </c>
      <c r="I987" s="7">
        <v>11.4152</v>
      </c>
      <c r="J987" s="7">
        <v>13.2835</v>
      </c>
      <c r="K987" s="7"/>
      <c r="L987" s="7"/>
      <c r="M987" s="7"/>
      <c r="N987" s="7">
        <v>11.0809</v>
      </c>
      <c r="O987" s="8">
        <v>8.321</v>
      </c>
      <c r="P987" s="7">
        <v>12.9282</v>
      </c>
      <c r="Q987" s="7">
        <v>12.9282</v>
      </c>
      <c r="R987" s="7">
        <v>12.9282</v>
      </c>
      <c r="S987" s="8">
        <v>12.9282</v>
      </c>
    </row>
    <row r="988" spans="1:19" s="12" customFormat="1" ht="16.5" customHeight="1">
      <c r="A988" s="3"/>
      <c r="B988" s="13" t="s">
        <v>140</v>
      </c>
      <c r="C988" s="7">
        <v>13.161</v>
      </c>
      <c r="D988" s="7"/>
      <c r="E988" s="7">
        <v>14.2791</v>
      </c>
      <c r="F988" s="7">
        <v>15.4023</v>
      </c>
      <c r="G988" s="7">
        <v>20.8177</v>
      </c>
      <c r="H988" s="14">
        <v>14.0417</v>
      </c>
      <c r="I988" s="7">
        <v>12.3856</v>
      </c>
      <c r="J988" s="7">
        <v>14.1314</v>
      </c>
      <c r="K988" s="7"/>
      <c r="L988" s="7"/>
      <c r="M988" s="7"/>
      <c r="N988" s="7">
        <v>12.0636</v>
      </c>
      <c r="O988" s="8">
        <v>9.0673</v>
      </c>
      <c r="P988" s="7">
        <v>12.9282</v>
      </c>
      <c r="Q988" s="7">
        <v>12.9282</v>
      </c>
      <c r="R988" s="7">
        <v>12.9282</v>
      </c>
      <c r="S988" s="8">
        <v>12.9282</v>
      </c>
    </row>
    <row r="989" spans="1:19" s="12" customFormat="1" ht="16.5" customHeight="1">
      <c r="A989" s="3"/>
      <c r="B989" s="13" t="s">
        <v>141</v>
      </c>
      <c r="C989" s="7">
        <v>13.5944</v>
      </c>
      <c r="D989" s="7"/>
      <c r="E989" s="7">
        <v>14.6733</v>
      </c>
      <c r="F989" s="7">
        <v>15.7531</v>
      </c>
      <c r="G989" s="7">
        <v>20.9261</v>
      </c>
      <c r="H989" s="14">
        <v>14.4361</v>
      </c>
      <c r="I989" s="7">
        <v>12.6602</v>
      </c>
      <c r="J989" s="7">
        <v>14.0011</v>
      </c>
      <c r="K989" s="7"/>
      <c r="L989" s="7"/>
      <c r="M989" s="7"/>
      <c r="N989" s="7">
        <v>12.3422</v>
      </c>
      <c r="O989" s="8">
        <v>9.3395</v>
      </c>
      <c r="P989" s="7">
        <v>12.9282</v>
      </c>
      <c r="Q989" s="7">
        <v>12.9282</v>
      </c>
      <c r="R989" s="7">
        <v>12.9282</v>
      </c>
      <c r="S989" s="8">
        <v>12.9282</v>
      </c>
    </row>
    <row r="990" spans="1:19" s="12" customFormat="1" ht="16.5" customHeight="1">
      <c r="A990" s="3"/>
      <c r="B990" s="13" t="s">
        <v>142</v>
      </c>
      <c r="C990" s="7">
        <v>13.9176</v>
      </c>
      <c r="D990" s="7"/>
      <c r="E990" s="7">
        <v>14.9673</v>
      </c>
      <c r="F990" s="7">
        <v>16.0147</v>
      </c>
      <c r="G990" s="7">
        <v>21.0069</v>
      </c>
      <c r="H990" s="14">
        <v>14.7301</v>
      </c>
      <c r="I990" s="7">
        <v>12.602</v>
      </c>
      <c r="J990" s="7">
        <v>13.7198</v>
      </c>
      <c r="K990" s="7"/>
      <c r="L990" s="7"/>
      <c r="M990" s="7"/>
      <c r="N990" s="7">
        <v>12.2404</v>
      </c>
      <c r="O990" s="8">
        <v>9.3821</v>
      </c>
      <c r="P990" s="7">
        <v>12.9282</v>
      </c>
      <c r="Q990" s="7">
        <v>12.9282</v>
      </c>
      <c r="R990" s="7">
        <v>12.9282</v>
      </c>
      <c r="S990" s="8">
        <v>12.9282</v>
      </c>
    </row>
    <row r="991" spans="1:19" s="12" customFormat="1" ht="16.5" customHeight="1">
      <c r="A991" s="3"/>
      <c r="B991" s="4" t="s">
        <v>13</v>
      </c>
      <c r="C991" s="11">
        <f>(C986*7+C987*7+C988*7+C989*7+C990*3)/31</f>
        <v>12.78800322580645</v>
      </c>
      <c r="D991" s="11"/>
      <c r="E991" s="11">
        <f aca="true" t="shared" si="143" ref="E991:S991">(E986*7+E987*7+E988*7+E989*7+E990*3)/31</f>
        <v>13.940129032258065</v>
      </c>
      <c r="F991" s="11">
        <f t="shared" si="143"/>
        <v>15.100861290322582</v>
      </c>
      <c r="G991" s="11">
        <f t="shared" si="143"/>
        <v>20.724483870967745</v>
      </c>
      <c r="H991" s="11">
        <f t="shared" si="143"/>
        <v>13.70234193548387</v>
      </c>
      <c r="I991" s="11">
        <f t="shared" si="143"/>
        <v>11.948087096774193</v>
      </c>
      <c r="J991" s="11">
        <f t="shared" si="143"/>
        <v>13.602764516129032</v>
      </c>
      <c r="K991" s="11"/>
      <c r="L991" s="11"/>
      <c r="M991" s="11"/>
      <c r="N991" s="11">
        <f t="shared" si="143"/>
        <v>11.610603225806452</v>
      </c>
      <c r="O991" s="38">
        <f t="shared" si="143"/>
        <v>8.767183870967742</v>
      </c>
      <c r="P991" s="11">
        <f t="shared" si="143"/>
        <v>12.93872258064516</v>
      </c>
      <c r="Q991" s="11">
        <f t="shared" si="143"/>
        <v>12.93872258064516</v>
      </c>
      <c r="R991" s="48">
        <f t="shared" si="143"/>
        <v>12.93872258064516</v>
      </c>
      <c r="S991" s="38">
        <f t="shared" si="143"/>
        <v>12.93872258064516</v>
      </c>
    </row>
    <row r="992" spans="1:19" s="12" customFormat="1" ht="16.5" customHeight="1">
      <c r="A992" s="3"/>
      <c r="B992" s="13" t="s">
        <v>27</v>
      </c>
      <c r="C992" s="7">
        <v>13.4486</v>
      </c>
      <c r="D992" s="7"/>
      <c r="E992" s="7">
        <v>14.529</v>
      </c>
      <c r="F992" s="7">
        <v>15.6104</v>
      </c>
      <c r="G992" s="7">
        <v>20.7922</v>
      </c>
      <c r="H992" s="14">
        <v>14.2917</v>
      </c>
      <c r="I992" s="7">
        <v>12.2657</v>
      </c>
      <c r="J992" s="7">
        <v>13.3066</v>
      </c>
      <c r="K992" s="7"/>
      <c r="L992" s="7"/>
      <c r="M992" s="7"/>
      <c r="N992" s="7">
        <v>11.8135</v>
      </c>
      <c r="O992" s="8">
        <v>9.1771</v>
      </c>
      <c r="P992" s="7">
        <v>12.9282</v>
      </c>
      <c r="Q992" s="7">
        <v>12.9282</v>
      </c>
      <c r="R992" s="7">
        <v>12.9282</v>
      </c>
      <c r="S992" s="8">
        <v>12.9282</v>
      </c>
    </row>
    <row r="993" spans="1:19" s="12" customFormat="1" ht="16.5" customHeight="1">
      <c r="A993" s="3"/>
      <c r="B993" s="13" t="s">
        <v>347</v>
      </c>
      <c r="C993" s="7">
        <v>13.6788</v>
      </c>
      <c r="D993" s="7"/>
      <c r="E993" s="7">
        <v>14.7388</v>
      </c>
      <c r="F993" s="7">
        <v>15.7972</v>
      </c>
      <c r="G993" s="7">
        <v>20.8497</v>
      </c>
      <c r="H993" s="14">
        <v>14.5011</v>
      </c>
      <c r="I993" s="7">
        <v>12.3869</v>
      </c>
      <c r="J993" s="7">
        <v>13.4582</v>
      </c>
      <c r="K993" s="7"/>
      <c r="L993" s="7"/>
      <c r="M993" s="7"/>
      <c r="N993" s="7">
        <v>11.9689</v>
      </c>
      <c r="O993" s="8">
        <v>9.3115</v>
      </c>
      <c r="P993" s="7">
        <v>13.062</v>
      </c>
      <c r="Q993" s="7">
        <v>13.062</v>
      </c>
      <c r="R993" s="7">
        <v>13.062</v>
      </c>
      <c r="S993" s="8">
        <v>13.062</v>
      </c>
    </row>
    <row r="994" spans="1:19" s="12" customFormat="1" ht="16.5" customHeight="1">
      <c r="A994" s="3"/>
      <c r="B994" s="13" t="s">
        <v>348</v>
      </c>
      <c r="C994" s="7">
        <v>13.9428</v>
      </c>
      <c r="D994" s="7"/>
      <c r="E994" s="7">
        <v>14.9801</v>
      </c>
      <c r="F994" s="7">
        <v>16.0127</v>
      </c>
      <c r="G994" s="7">
        <v>20.9157</v>
      </c>
      <c r="H994" s="14">
        <v>14.7409</v>
      </c>
      <c r="I994" s="7">
        <v>12.4475</v>
      </c>
      <c r="J994" s="7">
        <v>13.5263</v>
      </c>
      <c r="K994" s="7"/>
      <c r="L994" s="7"/>
      <c r="M994" s="7"/>
      <c r="N994" s="7">
        <v>12.0363</v>
      </c>
      <c r="O994" s="8">
        <v>9.335</v>
      </c>
      <c r="P994" s="7">
        <v>13.1623</v>
      </c>
      <c r="Q994" s="7">
        <v>13.1623</v>
      </c>
      <c r="R994" s="7">
        <v>13.1623</v>
      </c>
      <c r="S994" s="8">
        <v>13.1623</v>
      </c>
    </row>
    <row r="995" spans="1:19" s="12" customFormat="1" ht="16.5" customHeight="1">
      <c r="A995" s="3"/>
      <c r="B995" s="13" t="s">
        <v>349</v>
      </c>
      <c r="C995" s="7">
        <v>13.7493</v>
      </c>
      <c r="D995" s="7"/>
      <c r="E995" s="7">
        <v>14.8033</v>
      </c>
      <c r="F995" s="7">
        <v>15.855</v>
      </c>
      <c r="G995" s="7">
        <v>20.8673</v>
      </c>
      <c r="H995" s="14">
        <v>14.5648</v>
      </c>
      <c r="I995" s="7">
        <v>12.3131</v>
      </c>
      <c r="J995" s="7">
        <v>13.2989</v>
      </c>
      <c r="K995" s="7"/>
      <c r="L995" s="7"/>
      <c r="M995" s="7"/>
      <c r="N995" s="7">
        <v>11.8491</v>
      </c>
      <c r="O995" s="8">
        <v>9.374</v>
      </c>
      <c r="P995" s="7">
        <v>13.1623</v>
      </c>
      <c r="Q995" s="7">
        <v>13.1623</v>
      </c>
      <c r="R995" s="7">
        <v>13.1623</v>
      </c>
      <c r="S995" s="8">
        <v>13.1623</v>
      </c>
    </row>
    <row r="996" spans="1:19" s="12" customFormat="1" ht="16.5" customHeight="1">
      <c r="A996" s="3"/>
      <c r="B996" s="13" t="s">
        <v>350</v>
      </c>
      <c r="C996" s="7">
        <v>13.7385</v>
      </c>
      <c r="D996" s="7"/>
      <c r="E996" s="7">
        <v>14.7929</v>
      </c>
      <c r="F996" s="7">
        <v>15.8453</v>
      </c>
      <c r="G996" s="7">
        <v>20.8646</v>
      </c>
      <c r="H996" s="14">
        <v>14.5552</v>
      </c>
      <c r="I996" s="7">
        <v>12.3666</v>
      </c>
      <c r="J996" s="7">
        <v>13.3567</v>
      </c>
      <c r="K996" s="7"/>
      <c r="L996" s="7"/>
      <c r="M996" s="7"/>
      <c r="N996" s="7">
        <v>11.9537</v>
      </c>
      <c r="O996" s="8">
        <v>9.3732</v>
      </c>
      <c r="P996" s="7">
        <v>13.1623</v>
      </c>
      <c r="Q996" s="7">
        <v>13.1623</v>
      </c>
      <c r="R996" s="7">
        <v>13.1623</v>
      </c>
      <c r="S996" s="8">
        <v>13.1623</v>
      </c>
    </row>
    <row r="997" spans="1:19" s="12" customFormat="1" ht="16.5" customHeight="1">
      <c r="A997" s="3"/>
      <c r="B997" s="4" t="s">
        <v>13</v>
      </c>
      <c r="C997" s="11">
        <f>(C992*4+C993*7+C994*7+C995*7+C996*5)/30</f>
        <v>13.736106666666666</v>
      </c>
      <c r="D997" s="11"/>
      <c r="E997" s="11">
        <f aca="true" t="shared" si="144" ref="E997:S997">(E992*4+E993*7+E994*7+E995*7+E996*5)/30</f>
        <v>14.791196666666666</v>
      </c>
      <c r="F997" s="11">
        <f t="shared" si="144"/>
        <v>15.84408</v>
      </c>
      <c r="G997" s="11">
        <f t="shared" si="144"/>
        <v>20.864023333333332</v>
      </c>
      <c r="H997" s="11">
        <f t="shared" si="144"/>
        <v>14.553013333333332</v>
      </c>
      <c r="I997" s="11">
        <f t="shared" si="144"/>
        <v>12.364276666666667</v>
      </c>
      <c r="J997" s="11">
        <f t="shared" si="144"/>
        <v>13.39979</v>
      </c>
      <c r="K997" s="11"/>
      <c r="L997" s="11"/>
      <c r="M997" s="11"/>
      <c r="N997" s="11">
        <f t="shared" si="144"/>
        <v>11.933420000000002</v>
      </c>
      <c r="O997" s="38">
        <f t="shared" si="144"/>
        <v>9.323929999999999</v>
      </c>
      <c r="P997" s="11">
        <f>(P992*4+P993*7+P994*7+P995*7+P996*5)/30</f>
        <v>13.107683333333334</v>
      </c>
      <c r="Q997" s="11">
        <f t="shared" si="144"/>
        <v>13.107683333333334</v>
      </c>
      <c r="R997" s="48">
        <f t="shared" si="144"/>
        <v>13.107683333333334</v>
      </c>
      <c r="S997" s="38">
        <f t="shared" si="144"/>
        <v>13.107683333333334</v>
      </c>
    </row>
    <row r="998" spans="1:19" s="12" customFormat="1" ht="16.5" customHeight="1">
      <c r="A998" s="3"/>
      <c r="B998" s="13" t="s">
        <v>253</v>
      </c>
      <c r="C998" s="7">
        <v>14.0883</v>
      </c>
      <c r="D998" s="7"/>
      <c r="E998" s="7">
        <v>15.0987</v>
      </c>
      <c r="F998" s="7">
        <v>16.1022</v>
      </c>
      <c r="G998" s="7">
        <v>20.8471</v>
      </c>
      <c r="H998" s="14">
        <v>14.8607</v>
      </c>
      <c r="I998" s="7">
        <v>12.6973</v>
      </c>
      <c r="J998" s="7">
        <v>13.7373</v>
      </c>
      <c r="K998" s="7"/>
      <c r="L998" s="7"/>
      <c r="M998" s="7"/>
      <c r="N998" s="7">
        <v>12.3459</v>
      </c>
      <c r="O998" s="8">
        <v>9.4959</v>
      </c>
      <c r="P998" s="7">
        <v>13.1623</v>
      </c>
      <c r="Q998" s="7">
        <v>13.1623</v>
      </c>
      <c r="R998" s="7">
        <v>13.1623</v>
      </c>
      <c r="S998" s="8">
        <v>13.1623</v>
      </c>
    </row>
    <row r="999" spans="1:19" s="12" customFormat="1" ht="16.5" customHeight="1">
      <c r="A999" s="3"/>
      <c r="B999" s="13" t="s">
        <v>351</v>
      </c>
      <c r="C999" s="7">
        <v>14.3335</v>
      </c>
      <c r="D999" s="7"/>
      <c r="E999" s="7">
        <v>15.3224</v>
      </c>
      <c r="F999" s="7">
        <v>16.3016</v>
      </c>
      <c r="G999" s="7">
        <v>20.9084</v>
      </c>
      <c r="H999" s="14">
        <v>15.0837</v>
      </c>
      <c r="I999" s="7">
        <v>13.3718</v>
      </c>
      <c r="J999" s="7">
        <v>14.3906</v>
      </c>
      <c r="K999" s="7"/>
      <c r="L999" s="7"/>
      <c r="M999" s="7"/>
      <c r="N999" s="7">
        <v>13.0045</v>
      </c>
      <c r="O999" s="8">
        <v>9.8834</v>
      </c>
      <c r="P999" s="7">
        <v>13.0684</v>
      </c>
      <c r="Q999" s="7">
        <v>13.0684</v>
      </c>
      <c r="R999" s="7">
        <v>13.0684</v>
      </c>
      <c r="S999" s="8">
        <v>13.0684</v>
      </c>
    </row>
    <row r="1000" spans="1:19" s="12" customFormat="1" ht="16.5" customHeight="1">
      <c r="A1000" s="3"/>
      <c r="B1000" s="13" t="s">
        <v>352</v>
      </c>
      <c r="C1000" s="7">
        <v>14.9007</v>
      </c>
      <c r="D1000" s="7"/>
      <c r="E1000" s="7">
        <v>15.8417</v>
      </c>
      <c r="F1000" s="7">
        <v>16.7658</v>
      </c>
      <c r="G1000" s="7">
        <v>21.0205</v>
      </c>
      <c r="H1000" s="14">
        <v>15.5978</v>
      </c>
      <c r="I1000" s="7">
        <v>14.0173</v>
      </c>
      <c r="J1000" s="7">
        <v>15.0425</v>
      </c>
      <c r="K1000" s="7"/>
      <c r="L1000" s="7"/>
      <c r="M1000" s="7"/>
      <c r="N1000" s="7">
        <v>13.667</v>
      </c>
      <c r="O1000" s="8">
        <v>10.4637</v>
      </c>
      <c r="P1000" s="7">
        <v>12.9979</v>
      </c>
      <c r="Q1000" s="7">
        <v>12.9979</v>
      </c>
      <c r="R1000" s="7">
        <v>12.9979</v>
      </c>
      <c r="S1000" s="8">
        <v>12.9979</v>
      </c>
    </row>
    <row r="1001" spans="1:19" s="12" customFormat="1" ht="16.5" customHeight="1">
      <c r="A1001" s="3"/>
      <c r="B1001" s="13" t="s">
        <v>353</v>
      </c>
      <c r="C1001" s="7">
        <v>15.1796</v>
      </c>
      <c r="D1001" s="7"/>
      <c r="E1001" s="7">
        <v>16.0943</v>
      </c>
      <c r="F1001" s="7">
        <v>16.9898</v>
      </c>
      <c r="G1001" s="7">
        <v>21.1199</v>
      </c>
      <c r="H1001" s="14">
        <v>15.8508</v>
      </c>
      <c r="I1001" s="7">
        <v>13.9226</v>
      </c>
      <c r="J1001" s="7">
        <v>15.0165</v>
      </c>
      <c r="K1001" s="7"/>
      <c r="L1001" s="7"/>
      <c r="M1001" s="7"/>
      <c r="N1001" s="7">
        <v>13.6544</v>
      </c>
      <c r="O1001" s="8">
        <v>10.5175</v>
      </c>
      <c r="P1001" s="7">
        <v>12.9979</v>
      </c>
      <c r="Q1001" s="7">
        <v>12.9979</v>
      </c>
      <c r="R1001" s="7">
        <v>12.9979</v>
      </c>
      <c r="S1001" s="8">
        <v>12.9979</v>
      </c>
    </row>
    <row r="1002" spans="1:19" s="12" customFormat="1" ht="16.5" customHeight="1">
      <c r="A1002" s="3"/>
      <c r="B1002" s="13" t="s">
        <v>354</v>
      </c>
      <c r="C1002" s="7">
        <v>15.2655</v>
      </c>
      <c r="D1002" s="7"/>
      <c r="E1002" s="7">
        <v>16.1723</v>
      </c>
      <c r="F1002" s="7">
        <v>17.0592</v>
      </c>
      <c r="G1002" s="7">
        <v>21.1414</v>
      </c>
      <c r="H1002" s="14">
        <v>15.9289</v>
      </c>
      <c r="I1002" s="7">
        <v>13.8306</v>
      </c>
      <c r="J1002" s="7">
        <v>14.9492</v>
      </c>
      <c r="K1002" s="7"/>
      <c r="L1002" s="7"/>
      <c r="M1002" s="7"/>
      <c r="N1002" s="7">
        <v>13.6011</v>
      </c>
      <c r="O1002" s="8">
        <v>10.5099</v>
      </c>
      <c r="P1002" s="7">
        <v>12.9979</v>
      </c>
      <c r="Q1002" s="7">
        <v>12.9979</v>
      </c>
      <c r="R1002" s="7">
        <v>12.9979</v>
      </c>
      <c r="S1002" s="8">
        <v>12.9979</v>
      </c>
    </row>
    <row r="1003" spans="1:19" s="12" customFormat="1" ht="16.5" customHeight="1">
      <c r="A1003" s="3"/>
      <c r="B1003" s="13" t="s">
        <v>355</v>
      </c>
      <c r="C1003" s="7">
        <v>15.1887</v>
      </c>
      <c r="D1003" s="7"/>
      <c r="E1003" s="7">
        <v>16.1027</v>
      </c>
      <c r="F1003" s="7">
        <v>16.9975</v>
      </c>
      <c r="G1003" s="7">
        <v>21.1222</v>
      </c>
      <c r="H1003" s="14">
        <v>15.859</v>
      </c>
      <c r="I1003" s="7">
        <v>13.8081</v>
      </c>
      <c r="J1003" s="7">
        <v>14.9006</v>
      </c>
      <c r="K1003" s="7"/>
      <c r="L1003" s="7"/>
      <c r="M1003" s="7"/>
      <c r="N1003" s="7">
        <v>13.555</v>
      </c>
      <c r="O1003" s="8">
        <v>10.4303</v>
      </c>
      <c r="P1003" s="7">
        <v>12.9979</v>
      </c>
      <c r="Q1003" s="7">
        <v>12.9979</v>
      </c>
      <c r="R1003" s="7">
        <v>12.9979</v>
      </c>
      <c r="S1003" s="8">
        <v>12.9979</v>
      </c>
    </row>
    <row r="1004" spans="1:19" s="12" customFormat="1" ht="16.5" customHeight="1">
      <c r="A1004" s="3"/>
      <c r="B1004" s="4" t="s">
        <v>13</v>
      </c>
      <c r="C1004" s="11">
        <f>(C998*2+C999*7+C1000*7+C1001*7+C1002*7+C1003*1)/31</f>
        <v>14.874851612903226</v>
      </c>
      <c r="D1004" s="11"/>
      <c r="E1004" s="11">
        <f aca="true" t="shared" si="145" ref="E1004:S1004">(E998*2+E999*7+E1000*7+E1001*7+E1002*7+E1003*1)/31</f>
        <v>15.816612903225804</v>
      </c>
      <c r="F1004" s="11">
        <f t="shared" si="145"/>
        <v>16.742474193548382</v>
      </c>
      <c r="G1004" s="11">
        <f t="shared" si="145"/>
        <v>21.037025806451613</v>
      </c>
      <c r="H1004" s="11">
        <f t="shared" si="145"/>
        <v>15.574477419354837</v>
      </c>
      <c r="I1004" s="11">
        <f t="shared" si="145"/>
        <v>13.716090322580644</v>
      </c>
      <c r="J1004" s="11">
        <f>(J998*2+J999*7+J1000*7+J1001*7+J1002*7+J1003*1)/31</f>
        <v>14.779574193548388</v>
      </c>
      <c r="K1004" s="11"/>
      <c r="L1004" s="11"/>
      <c r="M1004" s="11"/>
      <c r="N1004" s="11">
        <f t="shared" si="145"/>
        <v>13.410832258064515</v>
      </c>
      <c r="O1004" s="38">
        <f t="shared" si="145"/>
        <v>10.291729032258063</v>
      </c>
      <c r="P1004" s="11">
        <f t="shared" si="145"/>
        <v>13.024425806451614</v>
      </c>
      <c r="Q1004" s="11">
        <f t="shared" si="145"/>
        <v>13.024425806451614</v>
      </c>
      <c r="R1004" s="48">
        <f t="shared" si="145"/>
        <v>13.024425806451614</v>
      </c>
      <c r="S1004" s="38">
        <f t="shared" si="145"/>
        <v>13.024425806451614</v>
      </c>
    </row>
    <row r="1005" spans="1:19" s="12" customFormat="1" ht="16.5" customHeight="1">
      <c r="A1005" s="3"/>
      <c r="B1005" s="13" t="s">
        <v>89</v>
      </c>
      <c r="C1005" s="7">
        <v>14.4378</v>
      </c>
      <c r="D1005" s="7"/>
      <c r="E1005" s="7">
        <v>15.4168</v>
      </c>
      <c r="F1005" s="7">
        <v>16.3843</v>
      </c>
      <c r="G1005" s="7">
        <v>20.9194</v>
      </c>
      <c r="H1005" s="14">
        <v>15.1743</v>
      </c>
      <c r="I1005" s="7">
        <v>13.0624</v>
      </c>
      <c r="J1005" s="7">
        <v>14.3178</v>
      </c>
      <c r="K1005" s="7"/>
      <c r="L1005" s="7"/>
      <c r="M1005" s="7"/>
      <c r="N1005" s="7">
        <v>12.9568</v>
      </c>
      <c r="O1005" s="8">
        <v>10.0232</v>
      </c>
      <c r="P1005" s="7">
        <v>12.9979</v>
      </c>
      <c r="Q1005" s="7">
        <v>12.9979</v>
      </c>
      <c r="R1005" s="7">
        <v>12.9979</v>
      </c>
      <c r="S1005" s="8">
        <v>12.9979</v>
      </c>
    </row>
    <row r="1006" spans="1:19" s="12" customFormat="1" ht="16.5" customHeight="1">
      <c r="A1006" s="3"/>
      <c r="B1006" s="13" t="s">
        <v>356</v>
      </c>
      <c r="C1006" s="7">
        <v>13.8887</v>
      </c>
      <c r="D1006" s="7"/>
      <c r="E1006" s="7">
        <v>14.9176</v>
      </c>
      <c r="F1006" s="7">
        <v>15.9401</v>
      </c>
      <c r="G1006" s="7">
        <v>20.7822</v>
      </c>
      <c r="H1006" s="14">
        <v>14.6748</v>
      </c>
      <c r="I1006" s="7">
        <v>12.6506</v>
      </c>
      <c r="J1006" s="7">
        <v>13.8508</v>
      </c>
      <c r="K1006" s="7"/>
      <c r="L1006" s="7"/>
      <c r="M1006" s="7"/>
      <c r="N1006" s="7">
        <v>12.4901</v>
      </c>
      <c r="O1006" s="8">
        <v>9.8659</v>
      </c>
      <c r="P1006" s="7">
        <v>13.5568</v>
      </c>
      <c r="Q1006" s="7">
        <v>13.5568</v>
      </c>
      <c r="R1006" s="7">
        <v>13.5568</v>
      </c>
      <c r="S1006" s="8">
        <v>13.5568</v>
      </c>
    </row>
    <row r="1007" spans="1:19" s="12" customFormat="1" ht="16.5" customHeight="1">
      <c r="A1007" s="3"/>
      <c r="B1007" s="13" t="s">
        <v>357</v>
      </c>
      <c r="C1007" s="7">
        <v>13.8526</v>
      </c>
      <c r="D1007" s="7"/>
      <c r="E1007" s="7">
        <v>14.8869</v>
      </c>
      <c r="F1007" s="7">
        <v>15.9142</v>
      </c>
      <c r="G1007" s="7">
        <v>20.7731</v>
      </c>
      <c r="H1007" s="14">
        <v>14.6412</v>
      </c>
      <c r="I1007" s="7">
        <v>12.689</v>
      </c>
      <c r="J1007" s="7">
        <v>13.7904</v>
      </c>
      <c r="K1007" s="7"/>
      <c r="L1007" s="7"/>
      <c r="M1007" s="7"/>
      <c r="N1007" s="7">
        <v>12.4323</v>
      </c>
      <c r="O1007" s="8">
        <v>9.9404</v>
      </c>
      <c r="P1007" s="7">
        <v>13.65</v>
      </c>
      <c r="Q1007" s="7">
        <v>13.65</v>
      </c>
      <c r="R1007" s="7">
        <v>13.65</v>
      </c>
      <c r="S1007" s="8">
        <v>13.65</v>
      </c>
    </row>
    <row r="1008" spans="1:19" s="12" customFormat="1" ht="16.5" customHeight="1">
      <c r="A1008" s="3"/>
      <c r="B1008" s="13" t="s">
        <v>358</v>
      </c>
      <c r="C1008" s="7">
        <v>14.5469</v>
      </c>
      <c r="D1008" s="7"/>
      <c r="E1008" s="7">
        <v>15.5197</v>
      </c>
      <c r="F1008" s="7">
        <v>16.4781</v>
      </c>
      <c r="G1008" s="7">
        <v>20.9467</v>
      </c>
      <c r="H1008" s="14">
        <v>15.2726</v>
      </c>
      <c r="I1008" s="7">
        <v>13.327</v>
      </c>
      <c r="J1008" s="7">
        <v>14.4473</v>
      </c>
      <c r="K1008" s="7"/>
      <c r="L1008" s="7"/>
      <c r="M1008" s="7"/>
      <c r="N1008" s="7">
        <v>12.4901</v>
      </c>
      <c r="O1008" s="8">
        <v>10.5488</v>
      </c>
      <c r="P1008" s="7">
        <v>13.65</v>
      </c>
      <c r="Q1008" s="7">
        <v>13.65</v>
      </c>
      <c r="R1008" s="7">
        <v>13.65</v>
      </c>
      <c r="S1008" s="8">
        <v>13.65</v>
      </c>
    </row>
    <row r="1009" spans="1:19" s="12" customFormat="1" ht="16.5" customHeight="1">
      <c r="A1009" s="3"/>
      <c r="B1009" s="13" t="s">
        <v>359</v>
      </c>
      <c r="C1009" s="7">
        <v>14.4594</v>
      </c>
      <c r="D1009" s="7"/>
      <c r="E1009" s="7">
        <v>15.4401</v>
      </c>
      <c r="F1009" s="7">
        <v>16.4073</v>
      </c>
      <c r="G1009" s="7">
        <v>20.9249</v>
      </c>
      <c r="H1009" s="14">
        <v>15.193</v>
      </c>
      <c r="I1009" s="7">
        <v>13.2427</v>
      </c>
      <c r="J1009" s="7">
        <v>14.5542</v>
      </c>
      <c r="K1009" s="7"/>
      <c r="L1009" s="7"/>
      <c r="M1009" s="7"/>
      <c r="N1009" s="7">
        <v>12.7498</v>
      </c>
      <c r="O1009" s="8">
        <v>10.5902</v>
      </c>
      <c r="P1009" s="7">
        <v>13.65</v>
      </c>
      <c r="Q1009" s="7">
        <v>13.65</v>
      </c>
      <c r="R1009" s="7">
        <v>13.65</v>
      </c>
      <c r="S1009" s="8">
        <v>13.65</v>
      </c>
    </row>
    <row r="1010" spans="1:19" s="12" customFormat="1" ht="16.5" customHeight="1">
      <c r="A1010" s="3"/>
      <c r="B1010" s="4" t="s">
        <v>13</v>
      </c>
      <c r="C1010" s="11">
        <f>(C1005*6+C1006*7+C1007*7+C1008*7+C1009*3)/30</f>
        <v>14.200746666666667</v>
      </c>
      <c r="D1010" s="11"/>
      <c r="E1010" s="11">
        <f aca="true" t="shared" si="146" ref="E1010:S1010">(E1005*6+E1006*7+E1007*7+E1008*7+E1009*3)/30</f>
        <v>15.203016666666665</v>
      </c>
      <c r="F1010" s="11">
        <f t="shared" si="146"/>
        <v>16.19515</v>
      </c>
      <c r="G1010" s="11">
        <f t="shared" si="146"/>
        <v>20.86017</v>
      </c>
      <c r="H1010" s="11">
        <f t="shared" si="146"/>
        <v>14.958166666666667</v>
      </c>
      <c r="I1010" s="11">
        <f t="shared" si="146"/>
        <v>12.958956666666667</v>
      </c>
      <c r="J1010" s="11">
        <f t="shared" si="146"/>
        <v>14.13963</v>
      </c>
      <c r="K1010" s="11"/>
      <c r="L1010" s="11"/>
      <c r="M1010" s="11"/>
      <c r="N1010" s="11">
        <f t="shared" si="146"/>
        <v>12.595923333333332</v>
      </c>
      <c r="O1010" s="38">
        <f t="shared" si="146"/>
        <v>10.146516666666667</v>
      </c>
      <c r="P1010" s="11">
        <f t="shared" si="146"/>
        <v>13.497833333333334</v>
      </c>
      <c r="Q1010" s="11">
        <f t="shared" si="146"/>
        <v>13.497833333333334</v>
      </c>
      <c r="R1010" s="48">
        <f t="shared" si="146"/>
        <v>13.497833333333334</v>
      </c>
      <c r="S1010" s="38">
        <f t="shared" si="146"/>
        <v>13.497833333333334</v>
      </c>
    </row>
    <row r="1011" spans="1:19" s="12" customFormat="1" ht="16.5" customHeight="1">
      <c r="A1011" s="3"/>
      <c r="B1011" s="13" t="s">
        <v>40</v>
      </c>
      <c r="C1011" s="7">
        <v>14.7677</v>
      </c>
      <c r="D1011" s="7"/>
      <c r="E1011" s="7">
        <v>15.7282</v>
      </c>
      <c r="F1011" s="7">
        <v>16.6728</v>
      </c>
      <c r="G1011" s="7">
        <v>21.0619</v>
      </c>
      <c r="H1011" s="14">
        <v>15.4805</v>
      </c>
      <c r="I1011" s="7">
        <v>13.6396</v>
      </c>
      <c r="J1011" s="7">
        <v>14.8367</v>
      </c>
      <c r="K1011" s="7"/>
      <c r="L1011" s="7"/>
      <c r="M1011" s="7"/>
      <c r="N1011" s="7">
        <v>13.0459</v>
      </c>
      <c r="O1011" s="8">
        <v>11.0652</v>
      </c>
      <c r="P1011" s="7">
        <v>13.6289</v>
      </c>
      <c r="Q1011" s="7">
        <v>13.6289</v>
      </c>
      <c r="R1011" s="7">
        <v>13.6289</v>
      </c>
      <c r="S1011" s="8">
        <v>13.6289</v>
      </c>
    </row>
    <row r="1012" spans="1:19" s="12" customFormat="1" ht="16.5" customHeight="1">
      <c r="A1012" s="3"/>
      <c r="B1012" s="13" t="s">
        <v>41</v>
      </c>
      <c r="C1012" s="7">
        <v>15.5055</v>
      </c>
      <c r="D1012" s="7"/>
      <c r="E1012" s="7">
        <v>16.3994</v>
      </c>
      <c r="F1012" s="7">
        <v>17.2701</v>
      </c>
      <c r="G1012" s="7">
        <v>21.2464</v>
      </c>
      <c r="H1012" s="14">
        <v>16.1517</v>
      </c>
      <c r="I1012" s="7">
        <v>14.3748</v>
      </c>
      <c r="J1012" s="7">
        <v>15.5183</v>
      </c>
      <c r="K1012" s="7"/>
      <c r="L1012" s="7"/>
      <c r="M1012" s="7"/>
      <c r="N1012" s="7">
        <v>13.7184</v>
      </c>
      <c r="O1012" s="8">
        <v>11.599</v>
      </c>
      <c r="P1012" s="7">
        <v>13.6077</v>
      </c>
      <c r="Q1012" s="7">
        <v>13.6077</v>
      </c>
      <c r="R1012" s="7">
        <v>13.6077</v>
      </c>
      <c r="S1012" s="8">
        <v>13.6077</v>
      </c>
    </row>
    <row r="1013" spans="1:19" s="12" customFormat="1" ht="16.5" customHeight="1">
      <c r="A1013" s="3"/>
      <c r="B1013" s="13" t="s">
        <v>360</v>
      </c>
      <c r="C1013" s="7">
        <v>15.8869</v>
      </c>
      <c r="D1013" s="7"/>
      <c r="E1013" s="7">
        <v>16.7466</v>
      </c>
      <c r="F1013" s="7">
        <v>17.5792</v>
      </c>
      <c r="G1013" s="7">
        <v>21.3147</v>
      </c>
      <c r="H1013" s="14">
        <v>16.4986</v>
      </c>
      <c r="I1013" s="7">
        <v>14.7614</v>
      </c>
      <c r="J1013" s="7">
        <v>15.9195</v>
      </c>
      <c r="K1013" s="7"/>
      <c r="L1013" s="7"/>
      <c r="M1013" s="7"/>
      <c r="N1013" s="7">
        <v>14.123</v>
      </c>
      <c r="O1013" s="8">
        <v>11.9352</v>
      </c>
      <c r="P1013" s="7">
        <v>13.6077</v>
      </c>
      <c r="Q1013" s="7">
        <v>13.6077</v>
      </c>
      <c r="R1013" s="7">
        <v>13.6077</v>
      </c>
      <c r="S1013" s="8">
        <v>13.6077</v>
      </c>
    </row>
    <row r="1014" spans="1:19" s="12" customFormat="1" ht="16.5" customHeight="1">
      <c r="A1014" s="3"/>
      <c r="B1014" s="13" t="s">
        <v>361</v>
      </c>
      <c r="C1014" s="7">
        <v>16.3192</v>
      </c>
      <c r="D1014" s="7"/>
      <c r="E1014" s="7">
        <v>17.1416</v>
      </c>
      <c r="F1014" s="7">
        <v>17.9317</v>
      </c>
      <c r="G1014" s="7">
        <v>21.4498</v>
      </c>
      <c r="H1014" s="14">
        <v>16.892</v>
      </c>
      <c r="I1014" s="7">
        <v>14.9157</v>
      </c>
      <c r="J1014" s="7">
        <v>16.1011</v>
      </c>
      <c r="K1014" s="7"/>
      <c r="L1014" s="7"/>
      <c r="M1014" s="7"/>
      <c r="N1014" s="7">
        <v>14.3012</v>
      </c>
      <c r="O1014" s="8">
        <v>12.1709</v>
      </c>
      <c r="P1014" s="7">
        <v>13.6077</v>
      </c>
      <c r="Q1014" s="7">
        <v>13.6077</v>
      </c>
      <c r="R1014" s="7">
        <v>13.6077</v>
      </c>
      <c r="S1014" s="8">
        <v>13.6077</v>
      </c>
    </row>
    <row r="1015" spans="1:19" s="12" customFormat="1" ht="16.5" customHeight="1">
      <c r="A1015" s="3"/>
      <c r="B1015" s="13" t="s">
        <v>362</v>
      </c>
      <c r="C1015" s="7">
        <v>16.6734</v>
      </c>
      <c r="D1015" s="7"/>
      <c r="E1015" s="7">
        <v>17.4641</v>
      </c>
      <c r="F1015" s="7">
        <v>18.219</v>
      </c>
      <c r="G1015" s="7">
        <v>21.5383</v>
      </c>
      <c r="H1015" s="14">
        <v>17.2142</v>
      </c>
      <c r="I1015" s="7">
        <v>15.1935</v>
      </c>
      <c r="J1015" s="7">
        <v>16.3216</v>
      </c>
      <c r="K1015" s="7"/>
      <c r="L1015" s="7"/>
      <c r="M1015" s="7"/>
      <c r="N1015" s="7">
        <v>14.5543</v>
      </c>
      <c r="O1015" s="8">
        <v>12.2674</v>
      </c>
      <c r="P1015" s="7">
        <v>13.6077</v>
      </c>
      <c r="Q1015" s="7">
        <v>13.6077</v>
      </c>
      <c r="R1015" s="7">
        <v>13.6077</v>
      </c>
      <c r="S1015" s="8">
        <v>13.6077</v>
      </c>
    </row>
    <row r="1016" spans="1:19" s="12" customFormat="1" ht="16.5" customHeight="1">
      <c r="A1016" s="3"/>
      <c r="B1016" s="4" t="s">
        <v>13</v>
      </c>
      <c r="C1016" s="11">
        <f>(C1011*4+C1012*7+C1013*7+C1014*7+C1015*6)/31</f>
        <v>15.906206451612903</v>
      </c>
      <c r="D1016" s="11"/>
      <c r="E1016" s="11">
        <f aca="true" t="shared" si="147" ref="E1016:S1016">(E1011*4+E1012*7+E1013*7+E1014*7+E1015*6)/31</f>
        <v>16.76485806451613</v>
      </c>
      <c r="F1016" s="11">
        <f t="shared" si="147"/>
        <v>17.595877419354835</v>
      </c>
      <c r="G1016" s="11">
        <f t="shared" si="147"/>
        <v>21.34044193548387</v>
      </c>
      <c r="H1016" s="11">
        <f t="shared" si="147"/>
        <v>16.51623548387097</v>
      </c>
      <c r="I1016" s="11">
        <f t="shared" si="147"/>
        <v>14.647829032258064</v>
      </c>
      <c r="J1016" s="11">
        <f t="shared" si="147"/>
        <v>15.80802258064516</v>
      </c>
      <c r="K1016" s="11"/>
      <c r="L1016" s="11"/>
      <c r="M1016" s="11"/>
      <c r="N1016" s="11">
        <f t="shared" si="147"/>
        <v>14.016374193548389</v>
      </c>
      <c r="O1016" s="38">
        <f t="shared" si="147"/>
        <v>11.864545161290323</v>
      </c>
      <c r="P1016" s="11">
        <f>(P1011*4+P1012*7+P1013*7+P1014*7+P1015*6)/31</f>
        <v>13.610435483870967</v>
      </c>
      <c r="Q1016" s="11">
        <f t="shared" si="147"/>
        <v>13.610435483870967</v>
      </c>
      <c r="R1016" s="48">
        <f t="shared" si="147"/>
        <v>13.610435483870967</v>
      </c>
      <c r="S1016" s="38">
        <f t="shared" si="147"/>
        <v>13.610435483870967</v>
      </c>
    </row>
    <row r="1017" spans="1:19" s="12" customFormat="1" ht="16.5" customHeight="1">
      <c r="A1017" s="20"/>
      <c r="B1017" s="19">
        <v>2017</v>
      </c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39"/>
      <c r="P1017" s="14"/>
      <c r="S1017" s="15"/>
    </row>
    <row r="1018" spans="1:19" s="12" customFormat="1" ht="16.5" customHeight="1">
      <c r="A1018" s="3"/>
      <c r="B1018" s="13" t="s">
        <v>212</v>
      </c>
      <c r="C1018" s="7">
        <v>16.9291</v>
      </c>
      <c r="D1018" s="7"/>
      <c r="E1018" s="7">
        <v>17.6879</v>
      </c>
      <c r="F1018" s="7">
        <v>18.4077</v>
      </c>
      <c r="G1018" s="7">
        <v>21.5348</v>
      </c>
      <c r="H1018" s="14">
        <v>17.4388</v>
      </c>
      <c r="I1018" s="7">
        <v>15.3951</v>
      </c>
      <c r="J1018" s="7">
        <v>16.5904</v>
      </c>
      <c r="K1018" s="7"/>
      <c r="L1018" s="7"/>
      <c r="M1018" s="7"/>
      <c r="N1018" s="7">
        <v>14.8411</v>
      </c>
      <c r="O1018" s="8">
        <v>12.4076</v>
      </c>
      <c r="P1018" s="7">
        <v>13.6077</v>
      </c>
      <c r="Q1018" s="7">
        <v>13.6077</v>
      </c>
      <c r="R1018" s="7">
        <v>13.6077</v>
      </c>
      <c r="S1018" s="8">
        <v>13.6077</v>
      </c>
    </row>
    <row r="1019" spans="1:19" s="12" customFormat="1" ht="16.5" customHeight="1">
      <c r="A1019" s="3"/>
      <c r="B1019" s="13" t="s">
        <v>363</v>
      </c>
      <c r="C1019" s="7">
        <v>16.8891</v>
      </c>
      <c r="D1019" s="7"/>
      <c r="E1019" s="7">
        <v>17.6514</v>
      </c>
      <c r="F1019" s="7">
        <v>18.3751</v>
      </c>
      <c r="G1019" s="7">
        <v>21.5248</v>
      </c>
      <c r="H1019" s="14">
        <v>17.4026</v>
      </c>
      <c r="I1019" s="7">
        <v>15.289</v>
      </c>
      <c r="J1019" s="7">
        <v>16.5206</v>
      </c>
      <c r="K1019" s="7"/>
      <c r="L1019" s="7"/>
      <c r="M1019" s="7"/>
      <c r="N1019" s="7">
        <v>14.8218</v>
      </c>
      <c r="O1019" s="8">
        <v>12.4459</v>
      </c>
      <c r="P1019" s="7">
        <v>13.6077</v>
      </c>
      <c r="Q1019" s="7">
        <v>13.6077</v>
      </c>
      <c r="R1019" s="7">
        <v>13.6077</v>
      </c>
      <c r="S1019" s="8">
        <v>13.6077</v>
      </c>
    </row>
    <row r="1020" spans="1:19" s="12" customFormat="1" ht="16.5" customHeight="1">
      <c r="A1020" s="3"/>
      <c r="B1020" s="13" t="s">
        <v>364</v>
      </c>
      <c r="C1020" s="7">
        <v>16.4375</v>
      </c>
      <c r="D1020" s="7"/>
      <c r="E1020" s="7">
        <v>17.2389</v>
      </c>
      <c r="F1020" s="7">
        <v>18.0071</v>
      </c>
      <c r="G1020" s="7">
        <v>21.4119</v>
      </c>
      <c r="H1020" s="14">
        <v>16.992</v>
      </c>
      <c r="I1020" s="7">
        <v>14.9595</v>
      </c>
      <c r="J1020" s="7">
        <v>16.287</v>
      </c>
      <c r="K1020" s="7"/>
      <c r="L1020" s="7"/>
      <c r="M1020" s="7"/>
      <c r="N1020" s="7">
        <v>14.569</v>
      </c>
      <c r="O1020" s="8">
        <v>12.1557</v>
      </c>
      <c r="P1020" s="7">
        <v>17.6328</v>
      </c>
      <c r="Q1020" s="7">
        <v>17.6328</v>
      </c>
      <c r="R1020" s="7">
        <v>17.6328</v>
      </c>
      <c r="S1020" s="8">
        <v>17.6328</v>
      </c>
    </row>
    <row r="1021" spans="1:19" s="12" customFormat="1" ht="16.5" customHeight="1">
      <c r="A1021" s="3"/>
      <c r="B1021" s="13" t="s">
        <v>365</v>
      </c>
      <c r="C1021" s="7">
        <v>16.5768</v>
      </c>
      <c r="D1021" s="7"/>
      <c r="E1021" s="7">
        <v>17.3647</v>
      </c>
      <c r="F1021" s="7">
        <v>18.1185</v>
      </c>
      <c r="G1021" s="7">
        <v>21.4467</v>
      </c>
      <c r="H1021" s="14">
        <v>17.1185</v>
      </c>
      <c r="I1021" s="7">
        <v>14.8236</v>
      </c>
      <c r="J1021" s="7">
        <v>16.2036</v>
      </c>
      <c r="K1021" s="7"/>
      <c r="L1021" s="7"/>
      <c r="M1021" s="7"/>
      <c r="N1021" s="7">
        <v>14.4275</v>
      </c>
      <c r="O1021" s="8">
        <v>12.012</v>
      </c>
      <c r="P1021" s="7">
        <v>18.3036</v>
      </c>
      <c r="Q1021" s="7">
        <v>18.3036</v>
      </c>
      <c r="R1021" s="7">
        <v>18.3036</v>
      </c>
      <c r="S1021" s="8">
        <v>18.3036</v>
      </c>
    </row>
    <row r="1022" spans="1:19" s="12" customFormat="1" ht="16.5" customHeight="1">
      <c r="A1022" s="3"/>
      <c r="B1022" s="13" t="s">
        <v>366</v>
      </c>
      <c r="C1022" s="7">
        <v>16.4361</v>
      </c>
      <c r="D1022" s="7"/>
      <c r="E1022" s="7">
        <v>17.236</v>
      </c>
      <c r="F1022" s="7">
        <v>18.0034</v>
      </c>
      <c r="G1022" s="7">
        <v>21.4115</v>
      </c>
      <c r="H1022" s="14">
        <v>16.9904</v>
      </c>
      <c r="I1022" s="7">
        <v>14.7097</v>
      </c>
      <c r="J1022" s="7">
        <v>16.2046</v>
      </c>
      <c r="K1022" s="7"/>
      <c r="L1022" s="7"/>
      <c r="M1022" s="7"/>
      <c r="N1022" s="7">
        <v>14.4134</v>
      </c>
      <c r="O1022" s="8">
        <v>11.6571</v>
      </c>
      <c r="P1022" s="7">
        <v>18.3036</v>
      </c>
      <c r="Q1022" s="7">
        <v>18.3036</v>
      </c>
      <c r="R1022" s="7">
        <v>18.3036</v>
      </c>
      <c r="S1022" s="8">
        <v>18.3036</v>
      </c>
    </row>
    <row r="1023" spans="1:19" s="12" customFormat="1" ht="16.5" customHeight="1">
      <c r="A1023" s="3"/>
      <c r="B1023" s="13" t="s">
        <v>367</v>
      </c>
      <c r="C1023" s="7">
        <v>16.5654</v>
      </c>
      <c r="D1023" s="7"/>
      <c r="E1023" s="7">
        <v>17.3538</v>
      </c>
      <c r="F1023" s="7">
        <v>18.1084</v>
      </c>
      <c r="G1023" s="7">
        <v>21.4438</v>
      </c>
      <c r="H1023" s="14">
        <v>17.1079</v>
      </c>
      <c r="I1023" s="7">
        <v>14.7912</v>
      </c>
      <c r="J1023" s="7">
        <v>16.3797</v>
      </c>
      <c r="K1023" s="7"/>
      <c r="L1023" s="7"/>
      <c r="M1023" s="7"/>
      <c r="N1023" s="7">
        <v>14.5924</v>
      </c>
      <c r="O1023" s="8">
        <v>11.7005</v>
      </c>
      <c r="P1023" s="7">
        <v>18.3036</v>
      </c>
      <c r="Q1023" s="7">
        <v>18.3036</v>
      </c>
      <c r="R1023" s="7">
        <v>18.3036</v>
      </c>
      <c r="S1023" s="8">
        <v>18.3036</v>
      </c>
    </row>
    <row r="1024" spans="1:19" s="12" customFormat="1" ht="16.5" customHeight="1">
      <c r="A1024" s="3"/>
      <c r="B1024" s="4" t="s">
        <v>13</v>
      </c>
      <c r="C1024" s="11">
        <f>(C1018*1+C1019*7+C1020*7+C1021*7+C1022*7+C1023*2)/31</f>
        <v>16.594722580645158</v>
      </c>
      <c r="D1024" s="11"/>
      <c r="E1024" s="11">
        <f aca="true" t="shared" si="148" ref="E1024:R1024">(E1018*1+E1019*7+E1020*7+E1021*7+E1022*7+E1023*2)/31</f>
        <v>17.381693548387098</v>
      </c>
      <c r="F1024" s="11">
        <f t="shared" si="148"/>
        <v>18.13397419354839</v>
      </c>
      <c r="G1024" s="11">
        <f t="shared" si="148"/>
        <v>21.45118387096774</v>
      </c>
      <c r="H1024" s="11">
        <f t="shared" si="148"/>
        <v>17.13480967741936</v>
      </c>
      <c r="I1024" s="11">
        <f t="shared" si="148"/>
        <v>14.95000322580645</v>
      </c>
      <c r="J1024" s="11">
        <f t="shared" si="148"/>
        <v>16.31807741935484</v>
      </c>
      <c r="K1024" s="11"/>
      <c r="L1024" s="11"/>
      <c r="M1024" s="11"/>
      <c r="N1024" s="11">
        <f t="shared" si="148"/>
        <v>14.569283870967743</v>
      </c>
      <c r="O1024" s="38">
        <f t="shared" si="148"/>
        <v>12.054951612903226</v>
      </c>
      <c r="P1024" s="11">
        <f t="shared" si="148"/>
        <v>16.940283870967743</v>
      </c>
      <c r="Q1024" s="11">
        <f t="shared" si="148"/>
        <v>16.940283870967743</v>
      </c>
      <c r="R1024" s="48">
        <f t="shared" si="148"/>
        <v>16.940283870967743</v>
      </c>
      <c r="S1024" s="38">
        <f>(S1018*1+S1019*7+S1020*7+S1021*7+S1022*7+S1023*2)/31</f>
        <v>16.940283870967743</v>
      </c>
    </row>
    <row r="1025" spans="1:19" s="12" customFormat="1" ht="16.5" customHeight="1">
      <c r="A1025" s="3"/>
      <c r="B1025" s="13" t="s">
        <v>221</v>
      </c>
      <c r="C1025" s="7">
        <v>16.7102</v>
      </c>
      <c r="D1025" s="7"/>
      <c r="E1025" s="7">
        <v>17.6295</v>
      </c>
      <c r="F1025" s="7">
        <v>18.5302</v>
      </c>
      <c r="G1025" s="7">
        <v>22.6876</v>
      </c>
      <c r="H1025" s="14">
        <v>17.3848</v>
      </c>
      <c r="I1025" s="7">
        <v>14.8889</v>
      </c>
      <c r="J1025" s="7">
        <v>16.3446</v>
      </c>
      <c r="K1025" s="7"/>
      <c r="L1025" s="7"/>
      <c r="M1025" s="7"/>
      <c r="N1025" s="7">
        <v>14.5594</v>
      </c>
      <c r="O1025" s="8">
        <v>11.4017</v>
      </c>
      <c r="P1025" s="7">
        <v>18.3036</v>
      </c>
      <c r="Q1025" s="7">
        <v>18.3036</v>
      </c>
      <c r="R1025" s="7">
        <v>18.3036</v>
      </c>
      <c r="S1025" s="8">
        <v>18.3036</v>
      </c>
    </row>
    <row r="1026" spans="1:19" s="12" customFormat="1" ht="16.5" customHeight="1">
      <c r="A1026" s="3"/>
      <c r="B1026" s="13" t="s">
        <v>368</v>
      </c>
      <c r="C1026" s="7">
        <v>16.6062</v>
      </c>
      <c r="D1026" s="7"/>
      <c r="E1026" s="7">
        <v>17.5344</v>
      </c>
      <c r="F1026" s="7">
        <v>18.4452</v>
      </c>
      <c r="G1026" s="7">
        <v>22.6615</v>
      </c>
      <c r="H1026" s="14">
        <v>17.2903</v>
      </c>
      <c r="I1026" s="7">
        <v>14.9271</v>
      </c>
      <c r="J1026" s="7">
        <v>16.4526</v>
      </c>
      <c r="K1026" s="7"/>
      <c r="L1026" s="7"/>
      <c r="M1026" s="7"/>
      <c r="N1026" s="7">
        <v>14.6573</v>
      </c>
      <c r="O1026" s="8">
        <v>11.5265</v>
      </c>
      <c r="P1026" s="7">
        <v>21.0531</v>
      </c>
      <c r="Q1026" s="7">
        <v>21.0531</v>
      </c>
      <c r="R1026" s="7">
        <v>21.0531</v>
      </c>
      <c r="S1026" s="8">
        <v>21.0531</v>
      </c>
    </row>
    <row r="1027" spans="1:19" s="12" customFormat="1" ht="16.5" customHeight="1">
      <c r="A1027" s="3"/>
      <c r="B1027" s="13" t="s">
        <v>370</v>
      </c>
      <c r="C1027" s="7">
        <v>16.7028</v>
      </c>
      <c r="D1027" s="7"/>
      <c r="E1027" s="7">
        <v>17.6222</v>
      </c>
      <c r="F1027" s="7">
        <v>18.5233</v>
      </c>
      <c r="G1027" s="7">
        <v>22.6857</v>
      </c>
      <c r="H1027" s="14">
        <v>17.3777</v>
      </c>
      <c r="I1027" s="7">
        <v>14.9328</v>
      </c>
      <c r="J1027" s="7">
        <v>16.5048</v>
      </c>
      <c r="K1027" s="7"/>
      <c r="L1027" s="7"/>
      <c r="M1027" s="7"/>
      <c r="N1027" s="7">
        <v>14.672</v>
      </c>
      <c r="O1027" s="8">
        <v>11.6558</v>
      </c>
      <c r="P1027" s="7">
        <v>21.5114</v>
      </c>
      <c r="Q1027" s="7">
        <v>21.5114</v>
      </c>
      <c r="R1027" s="7">
        <v>21.5114</v>
      </c>
      <c r="S1027" s="8">
        <v>21.5114</v>
      </c>
    </row>
    <row r="1028" spans="1:19" s="12" customFormat="1" ht="16.5" customHeight="1">
      <c r="A1028" s="3"/>
      <c r="B1028" s="13" t="s">
        <v>369</v>
      </c>
      <c r="C1028" s="7">
        <v>16.161</v>
      </c>
      <c r="D1028" s="7"/>
      <c r="E1028" s="7">
        <v>17.129</v>
      </c>
      <c r="F1028" s="7">
        <v>18.0842</v>
      </c>
      <c r="G1028" s="7">
        <v>22.5502</v>
      </c>
      <c r="H1028" s="14">
        <v>16.8844</v>
      </c>
      <c r="I1028" s="7">
        <v>14.9988</v>
      </c>
      <c r="J1028" s="7">
        <v>16.6511</v>
      </c>
      <c r="K1028" s="7"/>
      <c r="L1028" s="7"/>
      <c r="M1028" s="7"/>
      <c r="N1028" s="7">
        <v>14.7947</v>
      </c>
      <c r="O1028" s="8">
        <v>11.5951</v>
      </c>
      <c r="P1028" s="7">
        <v>21.5114</v>
      </c>
      <c r="Q1028" s="7">
        <v>21.5114</v>
      </c>
      <c r="R1028" s="7">
        <v>21.5114</v>
      </c>
      <c r="S1028" s="8">
        <v>21.5114</v>
      </c>
    </row>
    <row r="1029" spans="1:19" s="12" customFormat="1" ht="16.5" customHeight="1">
      <c r="A1029" s="3"/>
      <c r="B1029" s="13" t="s">
        <v>371</v>
      </c>
      <c r="C1029" s="7">
        <v>16.1676</v>
      </c>
      <c r="D1029" s="7"/>
      <c r="E1029" s="7">
        <v>17.1346</v>
      </c>
      <c r="F1029" s="7">
        <v>18.0889</v>
      </c>
      <c r="G1029" s="7">
        <v>22.5519</v>
      </c>
      <c r="H1029" s="14">
        <v>16.8905</v>
      </c>
      <c r="I1029" s="7">
        <v>15.0142</v>
      </c>
      <c r="J1029" s="7">
        <v>16.6463</v>
      </c>
      <c r="K1029" s="7"/>
      <c r="L1029" s="7"/>
      <c r="M1029" s="7"/>
      <c r="N1029" s="7">
        <v>14.799</v>
      </c>
      <c r="O1029" s="8">
        <v>11.6539</v>
      </c>
      <c r="P1029" s="7">
        <v>21.5114</v>
      </c>
      <c r="Q1029" s="7">
        <v>21.5114</v>
      </c>
      <c r="R1029" s="7">
        <v>21.5114</v>
      </c>
      <c r="S1029" s="8">
        <v>21.5114</v>
      </c>
    </row>
    <row r="1030" spans="1:19" s="12" customFormat="1" ht="16.5" customHeight="1">
      <c r="A1030" s="3"/>
      <c r="B1030" s="4" t="s">
        <v>13</v>
      </c>
      <c r="C1030" s="11">
        <f>(C1025*5+C1026*7+C1027*7+C1028*7+C1029*2)/28</f>
        <v>16.506292857142856</v>
      </c>
      <c r="D1030" s="11"/>
      <c r="E1030" s="11">
        <f aca="true" t="shared" si="149" ref="E1030:R1030">(E1025*5+E1026*7+E1027*7+E1028*7+E1029*2)/28</f>
        <v>17.443425</v>
      </c>
      <c r="F1030" s="11">
        <f t="shared" si="149"/>
        <v>18.364203571428572</v>
      </c>
      <c r="G1030" s="11">
        <f t="shared" si="149"/>
        <v>22.636557142857146</v>
      </c>
      <c r="H1030" s="11">
        <f t="shared" si="149"/>
        <v>17.19899285714286</v>
      </c>
      <c r="I1030" s="11">
        <f t="shared" si="149"/>
        <v>14.945849999999998</v>
      </c>
      <c r="J1030" s="11">
        <f t="shared" si="149"/>
        <v>16.509825</v>
      </c>
      <c r="K1030" s="11"/>
      <c r="L1030" s="11"/>
      <c r="M1030" s="11"/>
      <c r="N1030" s="11">
        <f t="shared" si="149"/>
        <v>14.687964285714287</v>
      </c>
      <c r="O1030" s="38">
        <f t="shared" si="149"/>
        <v>11.562789285714286</v>
      </c>
      <c r="P1030" s="11">
        <f t="shared" si="149"/>
        <v>20.824003571428566</v>
      </c>
      <c r="Q1030" s="11">
        <f t="shared" si="149"/>
        <v>20.824003571428566</v>
      </c>
      <c r="R1030" s="48">
        <f t="shared" si="149"/>
        <v>20.824003571428566</v>
      </c>
      <c r="S1030" s="38">
        <f>(S1025*5+S1026*7+S1027*7+S1028*7+S1029*2)/28</f>
        <v>20.824003571428566</v>
      </c>
    </row>
    <row r="1031" spans="1:19" s="12" customFormat="1" ht="16.5" customHeight="1">
      <c r="A1031" s="3"/>
      <c r="B1031" s="13" t="s">
        <v>54</v>
      </c>
      <c r="C1031" s="7">
        <v>15.7225</v>
      </c>
      <c r="D1031" s="7"/>
      <c r="E1031" s="7">
        <v>16.7299</v>
      </c>
      <c r="F1031" s="7">
        <v>17.729</v>
      </c>
      <c r="G1031" s="7">
        <v>22.4406</v>
      </c>
      <c r="H1031" s="14">
        <v>16.4856</v>
      </c>
      <c r="I1031" s="7">
        <v>14.8403</v>
      </c>
      <c r="J1031" s="7">
        <v>16.5679</v>
      </c>
      <c r="K1031" s="7"/>
      <c r="L1031" s="7"/>
      <c r="M1031" s="7"/>
      <c r="N1031" s="7">
        <v>14.7149</v>
      </c>
      <c r="O1031" s="8">
        <v>11.5611</v>
      </c>
      <c r="P1031" s="7">
        <v>21.5114</v>
      </c>
      <c r="Q1031" s="7">
        <v>21.5114</v>
      </c>
      <c r="R1031" s="7">
        <v>21.5114</v>
      </c>
      <c r="S1031" s="8">
        <v>21.5114</v>
      </c>
    </row>
    <row r="1032" spans="1:19" s="12" customFormat="1" ht="16.5" customHeight="1">
      <c r="A1032" s="3"/>
      <c r="B1032" s="13" t="s">
        <v>429</v>
      </c>
      <c r="C1032" s="7">
        <v>15.653</v>
      </c>
      <c r="D1032" s="7"/>
      <c r="E1032" s="7">
        <v>16.6678</v>
      </c>
      <c r="F1032" s="7">
        <v>17.6743</v>
      </c>
      <c r="G1032" s="7">
        <v>22.4232</v>
      </c>
      <c r="H1032" s="14">
        <v>16.4221</v>
      </c>
      <c r="I1032" s="7">
        <v>14.556</v>
      </c>
      <c r="J1032" s="7">
        <v>16.2696</v>
      </c>
      <c r="K1032" s="7"/>
      <c r="L1032" s="7"/>
      <c r="M1032" s="7"/>
      <c r="N1032" s="7">
        <v>14.4794</v>
      </c>
      <c r="O1032" s="8">
        <v>11.3731</v>
      </c>
      <c r="P1032" s="7">
        <v>20.8452</v>
      </c>
      <c r="Q1032" s="7">
        <v>20.8452</v>
      </c>
      <c r="R1032" s="7">
        <v>20.8452</v>
      </c>
      <c r="S1032" s="8">
        <v>20.8452</v>
      </c>
    </row>
    <row r="1033" spans="1:19" s="12" customFormat="1" ht="16.5" customHeight="1">
      <c r="A1033" s="3"/>
      <c r="B1033" s="13" t="s">
        <v>430</v>
      </c>
      <c r="C1033" s="7">
        <v>15.1197</v>
      </c>
      <c r="D1033" s="7"/>
      <c r="E1033" s="7">
        <v>16.1826</v>
      </c>
      <c r="F1033" s="7">
        <v>17.2425</v>
      </c>
      <c r="G1033" s="7">
        <v>22.2899</v>
      </c>
      <c r="H1033" s="14">
        <v>15.937</v>
      </c>
      <c r="I1033" s="7">
        <v>13.8312</v>
      </c>
      <c r="J1033" s="7">
        <v>15.5436</v>
      </c>
      <c r="K1033" s="7"/>
      <c r="L1033" s="7"/>
      <c r="M1033" s="7"/>
      <c r="N1033" s="7">
        <v>13.7608</v>
      </c>
      <c r="O1033" s="8">
        <v>10.7696</v>
      </c>
      <c r="P1033" s="7">
        <v>20.5787</v>
      </c>
      <c r="Q1033" s="7">
        <v>20.5787</v>
      </c>
      <c r="R1033" s="7">
        <v>20.5787</v>
      </c>
      <c r="S1033" s="8">
        <v>20.5787</v>
      </c>
    </row>
    <row r="1034" spans="1:19" s="12" customFormat="1" ht="16.5" customHeight="1">
      <c r="A1034" s="3"/>
      <c r="B1034" s="13" t="s">
        <v>431</v>
      </c>
      <c r="C1034" s="7">
        <v>14.8703</v>
      </c>
      <c r="D1034" s="7"/>
      <c r="E1034" s="7">
        <v>15.9529</v>
      </c>
      <c r="F1034" s="7">
        <v>17.0364</v>
      </c>
      <c r="G1034" s="7">
        <v>22.2276</v>
      </c>
      <c r="H1034" s="14">
        <v>15.7114</v>
      </c>
      <c r="I1034" s="7">
        <v>13.5072</v>
      </c>
      <c r="J1034" s="7">
        <v>15.1245</v>
      </c>
      <c r="K1034" s="7"/>
      <c r="L1034" s="7"/>
      <c r="M1034" s="7"/>
      <c r="N1034" s="7">
        <v>13.3394</v>
      </c>
      <c r="O1034" s="8">
        <v>10.4395</v>
      </c>
      <c r="P1034" s="7">
        <v>20.5787</v>
      </c>
      <c r="Q1034" s="7">
        <v>20.5787</v>
      </c>
      <c r="R1034" s="7">
        <v>20.5787</v>
      </c>
      <c r="S1034" s="8">
        <v>20.5787</v>
      </c>
    </row>
    <row r="1035" spans="1:19" s="12" customFormat="1" ht="16.5" customHeight="1">
      <c r="A1035" s="3"/>
      <c r="B1035" s="13" t="s">
        <v>432</v>
      </c>
      <c r="C1035" s="7">
        <v>14.9097</v>
      </c>
      <c r="D1035" s="7"/>
      <c r="E1035" s="7">
        <v>15.9875</v>
      </c>
      <c r="F1035" s="7">
        <v>17.0664</v>
      </c>
      <c r="G1035" s="7">
        <v>22.2374</v>
      </c>
      <c r="H1035" s="14">
        <v>15.7476</v>
      </c>
      <c r="I1035" s="7">
        <v>13.4721</v>
      </c>
      <c r="J1035" s="7">
        <v>15.0084</v>
      </c>
      <c r="K1035" s="7"/>
      <c r="L1035" s="7"/>
      <c r="M1035" s="7"/>
      <c r="N1035" s="7">
        <v>13.2565</v>
      </c>
      <c r="O1035" s="8">
        <v>10.3251</v>
      </c>
      <c r="P1035" s="7">
        <v>20.5787</v>
      </c>
      <c r="Q1035" s="7">
        <v>20.5787</v>
      </c>
      <c r="R1035" s="7">
        <v>20.5787</v>
      </c>
      <c r="S1035" s="8">
        <v>20.5787</v>
      </c>
    </row>
    <row r="1036" spans="1:19" s="12" customFormat="1" ht="16.5" customHeight="1">
      <c r="A1036" s="3"/>
      <c r="B1036" s="4" t="s">
        <v>13</v>
      </c>
      <c r="C1036" s="11">
        <f>(C1031*5+C1032*7+C1033*7+C1034*7+C1035*5)/31</f>
        <v>15.24716129032258</v>
      </c>
      <c r="D1036" s="11"/>
      <c r="E1036" s="11">
        <f aca="true" t="shared" si="150" ref="E1036:J1036">(E1031*5+E1032*7+E1033*7+E1034*7+E1035*5)/31</f>
        <v>16.2971</v>
      </c>
      <c r="F1036" s="11">
        <f t="shared" si="150"/>
        <v>17.343529032258065</v>
      </c>
      <c r="G1036" s="11">
        <f t="shared" si="150"/>
        <v>22.321770967741937</v>
      </c>
      <c r="H1036" s="11">
        <f t="shared" si="150"/>
        <v>16.053532258064514</v>
      </c>
      <c r="I1036" s="11">
        <f t="shared" si="150"/>
        <v>14.026541935483872</v>
      </c>
      <c r="J1036" s="11">
        <f t="shared" si="150"/>
        <v>15.691787096774195</v>
      </c>
      <c r="K1036" s="11"/>
      <c r="L1036" s="11"/>
      <c r="M1036" s="11"/>
      <c r="N1036" s="11">
        <f aca="true" t="shared" si="151" ref="N1036:S1036">(N1031*5+N1032*7+N1033*7+N1034*7+N1035*5)/31</f>
        <v>13.900458064516132</v>
      </c>
      <c r="O1036" s="38">
        <f t="shared" si="151"/>
        <v>10.887303225806452</v>
      </c>
      <c r="P1036" s="11">
        <f t="shared" si="151"/>
        <v>20.789312903225806</v>
      </c>
      <c r="Q1036" s="11">
        <f t="shared" si="151"/>
        <v>20.789312903225806</v>
      </c>
      <c r="R1036" s="48">
        <f t="shared" si="151"/>
        <v>20.789312903225806</v>
      </c>
      <c r="S1036" s="38">
        <f t="shared" si="151"/>
        <v>20.789312903225806</v>
      </c>
    </row>
    <row r="1037" spans="1:19" s="12" customFormat="1" ht="16.5" customHeight="1">
      <c r="A1037" s="3"/>
      <c r="B1037" s="13" t="s">
        <v>226</v>
      </c>
      <c r="C1037" s="7">
        <v>15.2997</v>
      </c>
      <c r="D1037" s="7"/>
      <c r="E1037" s="7">
        <v>16.3773</v>
      </c>
      <c r="F1037" s="7">
        <v>17.456</v>
      </c>
      <c r="G1037" s="7">
        <v>22.6274</v>
      </c>
      <c r="H1037" s="14">
        <v>16.1374</v>
      </c>
      <c r="I1037" s="7">
        <v>13.7888</v>
      </c>
      <c r="J1037" s="7">
        <v>15.2813</v>
      </c>
      <c r="K1037" s="7"/>
      <c r="L1037" s="7"/>
      <c r="M1037" s="7"/>
      <c r="N1037" s="7">
        <v>13.545</v>
      </c>
      <c r="O1037" s="8">
        <v>10.568</v>
      </c>
      <c r="P1037" s="7">
        <v>20.5787</v>
      </c>
      <c r="Q1037" s="7">
        <v>20.5787</v>
      </c>
      <c r="R1037" s="7">
        <v>20.5787</v>
      </c>
      <c r="S1037" s="8">
        <v>20.5787</v>
      </c>
    </row>
    <row r="1038" spans="1:19" s="12" customFormat="1" ht="16.5" customHeight="1">
      <c r="A1038" s="3"/>
      <c r="B1038" s="13" t="s">
        <v>433</v>
      </c>
      <c r="C1038" s="7">
        <v>15.6875</v>
      </c>
      <c r="D1038" s="7"/>
      <c r="E1038" s="7">
        <v>16.7301</v>
      </c>
      <c r="F1038" s="7">
        <v>17.77</v>
      </c>
      <c r="G1038" s="7">
        <v>22.7244</v>
      </c>
      <c r="H1038" s="14">
        <v>16.4902</v>
      </c>
      <c r="I1038" s="7">
        <v>14.0862</v>
      </c>
      <c r="J1038" s="7">
        <v>15.512</v>
      </c>
      <c r="K1038" s="7"/>
      <c r="L1038" s="7"/>
      <c r="M1038" s="7"/>
      <c r="N1038" s="7">
        <v>13.8329</v>
      </c>
      <c r="O1038" s="8">
        <v>10.9145</v>
      </c>
      <c r="P1038" s="7">
        <v>18.0811</v>
      </c>
      <c r="Q1038" s="7">
        <v>18.0811</v>
      </c>
      <c r="R1038" s="7">
        <v>18.0811</v>
      </c>
      <c r="S1038" s="8">
        <v>18.0811</v>
      </c>
    </row>
    <row r="1039" spans="1:19" s="12" customFormat="1" ht="16.5" customHeight="1">
      <c r="A1039" s="3"/>
      <c r="B1039" s="13" t="s">
        <v>434</v>
      </c>
      <c r="C1039" s="7">
        <v>16.1202</v>
      </c>
      <c r="D1039" s="7"/>
      <c r="E1039" s="7">
        <v>17.1244</v>
      </c>
      <c r="F1039" s="7">
        <v>18.1214</v>
      </c>
      <c r="G1039" s="7">
        <v>22.8325</v>
      </c>
      <c r="H1039" s="14">
        <v>16.8838</v>
      </c>
      <c r="I1039" s="7">
        <v>14.6634</v>
      </c>
      <c r="J1039" s="7">
        <v>16.0325</v>
      </c>
      <c r="K1039" s="7"/>
      <c r="L1039" s="7"/>
      <c r="M1039" s="7"/>
      <c r="N1039" s="7">
        <v>14.4443</v>
      </c>
      <c r="O1039" s="8">
        <v>11.4128</v>
      </c>
      <c r="P1039" s="7">
        <v>17.6648</v>
      </c>
      <c r="Q1039" s="7">
        <v>17.6648</v>
      </c>
      <c r="R1039" s="7">
        <v>17.6648</v>
      </c>
      <c r="S1039" s="8">
        <v>17.6648</v>
      </c>
    </row>
    <row r="1040" spans="1:19" s="12" customFormat="1" ht="16.5" customHeight="1">
      <c r="A1040" s="3"/>
      <c r="B1040" s="13" t="s">
        <v>435</v>
      </c>
      <c r="C1040" s="7">
        <v>15.8573</v>
      </c>
      <c r="D1040" s="7"/>
      <c r="E1040" s="7">
        <v>16.8842</v>
      </c>
      <c r="F1040" s="7">
        <v>17.907</v>
      </c>
      <c r="G1040" s="7">
        <v>22.7668</v>
      </c>
      <c r="H1040" s="14">
        <v>16.6449</v>
      </c>
      <c r="I1040" s="7">
        <v>14.4112</v>
      </c>
      <c r="J1040" s="7">
        <v>15.7661</v>
      </c>
      <c r="K1040" s="7"/>
      <c r="L1040" s="7"/>
      <c r="M1040" s="7"/>
      <c r="N1040" s="7">
        <v>14.2069</v>
      </c>
      <c r="O1040" s="8">
        <v>11.1959</v>
      </c>
      <c r="P1040" s="7">
        <v>17.6648</v>
      </c>
      <c r="Q1040" s="7">
        <v>17.6648</v>
      </c>
      <c r="R1040" s="7">
        <v>17.6648</v>
      </c>
      <c r="S1040" s="8">
        <v>17.6648</v>
      </c>
    </row>
    <row r="1041" spans="1:19" s="12" customFormat="1" ht="16.5" customHeight="1">
      <c r="A1041" s="3"/>
      <c r="B1041" s="13" t="s">
        <v>436</v>
      </c>
      <c r="C1041" s="7">
        <v>15.2919</v>
      </c>
      <c r="D1041" s="7"/>
      <c r="E1041" s="7">
        <v>16.3701</v>
      </c>
      <c r="F1041" s="7">
        <v>17.4496</v>
      </c>
      <c r="G1041" s="7">
        <v>22.6255</v>
      </c>
      <c r="H1041" s="14">
        <v>16.1305</v>
      </c>
      <c r="I1041" s="7">
        <v>13.8119</v>
      </c>
      <c r="J1041" s="7">
        <v>15.3086</v>
      </c>
      <c r="K1041" s="7"/>
      <c r="L1041" s="7"/>
      <c r="M1041" s="7"/>
      <c r="N1041" s="7">
        <v>13.7217</v>
      </c>
      <c r="O1041" s="8">
        <v>10.8029</v>
      </c>
      <c r="P1041" s="7">
        <v>17.6648</v>
      </c>
      <c r="Q1041" s="7">
        <v>17.6648</v>
      </c>
      <c r="R1041" s="7">
        <v>17.6648</v>
      </c>
      <c r="S1041" s="8">
        <v>17.6648</v>
      </c>
    </row>
    <row r="1042" spans="1:19" s="12" customFormat="1" ht="16.5" customHeight="1">
      <c r="A1042" s="3"/>
      <c r="B1042" s="4" t="s">
        <v>13</v>
      </c>
      <c r="C1042" s="11">
        <f>(C1037*2+C1038*7+C1039*7+C1040*7+C1041*7)/30</f>
        <v>15.709923333333334</v>
      </c>
      <c r="D1042" s="11"/>
      <c r="E1042" s="11">
        <f aca="true" t="shared" si="152" ref="E1042:R1042">(E1037*2+E1038*7+E1039*7+E1040*7+E1041*7)/30</f>
        <v>16.75054</v>
      </c>
      <c r="F1042" s="11">
        <f t="shared" si="152"/>
        <v>17.788266666666665</v>
      </c>
      <c r="G1042" s="11">
        <f t="shared" si="152"/>
        <v>22.729973333333337</v>
      </c>
      <c r="H1042" s="11">
        <f t="shared" si="152"/>
        <v>16.51068666666667</v>
      </c>
      <c r="I1042" s="11">
        <f t="shared" si="152"/>
        <v>14.212883333333332</v>
      </c>
      <c r="J1042" s="11">
        <f t="shared" si="152"/>
        <v>15.629900000000001</v>
      </c>
      <c r="K1042" s="11"/>
      <c r="L1042" s="11"/>
      <c r="M1042" s="11"/>
      <c r="N1042" s="11">
        <f t="shared" si="152"/>
        <v>14.017686666666666</v>
      </c>
      <c r="O1042" s="38">
        <f t="shared" si="152"/>
        <v>11.04729</v>
      </c>
      <c r="P1042" s="11">
        <f>(P1037*2+P1038*7+P1039*7+P1040*7+P1041*7)/30</f>
        <v>17.956196666666663</v>
      </c>
      <c r="Q1042" s="11">
        <f t="shared" si="152"/>
        <v>17.956196666666663</v>
      </c>
      <c r="R1042" s="48">
        <f t="shared" si="152"/>
        <v>17.956196666666663</v>
      </c>
      <c r="S1042" s="38">
        <f>(S1037*2+S1038*7+S1039*7+S1040*7+S1041*7)/30</f>
        <v>17.956196666666663</v>
      </c>
    </row>
    <row r="1043" spans="1:19" s="12" customFormat="1" ht="16.5" customHeight="1">
      <c r="A1043" s="3"/>
      <c r="B1043" s="13" t="s">
        <v>230</v>
      </c>
      <c r="C1043" s="7">
        <v>14.7821</v>
      </c>
      <c r="D1043" s="7"/>
      <c r="E1043" s="7">
        <v>15.9069</v>
      </c>
      <c r="F1043" s="7">
        <v>17.0377</v>
      </c>
      <c r="G1043" s="7">
        <v>22.498</v>
      </c>
      <c r="H1043" s="14">
        <v>15.6667</v>
      </c>
      <c r="I1043" s="7">
        <v>13.3368</v>
      </c>
      <c r="J1043" s="7">
        <v>14.8473</v>
      </c>
      <c r="K1043" s="7"/>
      <c r="L1043" s="7"/>
      <c r="M1043" s="7"/>
      <c r="N1043" s="7">
        <v>13.2141</v>
      </c>
      <c r="O1043" s="8">
        <v>10.7339</v>
      </c>
      <c r="P1043" s="7">
        <v>15.4679</v>
      </c>
      <c r="Q1043" s="7">
        <v>15.4679</v>
      </c>
      <c r="R1043" s="7">
        <v>15.4679</v>
      </c>
      <c r="S1043" s="8">
        <v>15.4679</v>
      </c>
    </row>
    <row r="1044" spans="1:19" s="12" customFormat="1" ht="16.5" customHeight="1">
      <c r="A1044" s="3"/>
      <c r="B1044" s="13" t="s">
        <v>437</v>
      </c>
      <c r="C1044" s="7">
        <v>14.7392</v>
      </c>
      <c r="D1044" s="7"/>
      <c r="E1044" s="7">
        <v>15.8685</v>
      </c>
      <c r="F1044" s="7">
        <v>17.0041</v>
      </c>
      <c r="G1044" s="7">
        <v>22.4873</v>
      </c>
      <c r="H1044" s="14">
        <v>15.6274</v>
      </c>
      <c r="I1044" s="7">
        <v>13.1494</v>
      </c>
      <c r="J1044" s="7">
        <v>15.0623</v>
      </c>
      <c r="K1044" s="7"/>
      <c r="L1044" s="7"/>
      <c r="M1044" s="7"/>
      <c r="N1044" s="7">
        <v>12.9909</v>
      </c>
      <c r="O1044" s="8">
        <v>10.676</v>
      </c>
      <c r="P1044" s="7">
        <v>15.1018</v>
      </c>
      <c r="Q1044" s="7">
        <v>15.1018</v>
      </c>
      <c r="R1044" s="7">
        <v>15.1018</v>
      </c>
      <c r="S1044" s="8">
        <v>15.1018</v>
      </c>
    </row>
    <row r="1045" spans="1:19" s="12" customFormat="1" ht="16.5" customHeight="1">
      <c r="A1045" s="3"/>
      <c r="B1045" s="13" t="s">
        <v>438</v>
      </c>
      <c r="C1045" s="7">
        <v>15.1584</v>
      </c>
      <c r="D1045" s="7"/>
      <c r="E1045" s="7">
        <v>16.2492</v>
      </c>
      <c r="F1045" s="7">
        <v>17.3423</v>
      </c>
      <c r="G1045" s="7">
        <v>22.5921</v>
      </c>
      <c r="H1045" s="14">
        <v>16.0085</v>
      </c>
      <c r="I1045" s="7">
        <v>13.5362</v>
      </c>
      <c r="J1045" s="7">
        <v>15.339</v>
      </c>
      <c r="K1045" s="7"/>
      <c r="L1045" s="7"/>
      <c r="M1045" s="7"/>
      <c r="N1045" s="7">
        <v>13.2846</v>
      </c>
      <c r="O1045" s="8">
        <v>10.9956</v>
      </c>
      <c r="P1045" s="7">
        <v>15.1018</v>
      </c>
      <c r="Q1045" s="7">
        <v>15.1018</v>
      </c>
      <c r="R1045" s="7">
        <v>15.1018</v>
      </c>
      <c r="S1045" s="8">
        <v>15.1018</v>
      </c>
    </row>
    <row r="1046" spans="1:19" s="12" customFormat="1" ht="16.5" customHeight="1">
      <c r="A1046" s="3"/>
      <c r="B1046" s="13" t="s">
        <v>439</v>
      </c>
      <c r="C1046" s="7">
        <v>15.3592</v>
      </c>
      <c r="D1046" s="7"/>
      <c r="E1046" s="7">
        <v>16.4306</v>
      </c>
      <c r="F1046" s="7">
        <v>17.5031</v>
      </c>
      <c r="G1046" s="7">
        <v>22.6423</v>
      </c>
      <c r="H1046" s="14">
        <v>16.1912</v>
      </c>
      <c r="I1046" s="7">
        <v>14.0096</v>
      </c>
      <c r="J1046" s="7">
        <v>15.6572</v>
      </c>
      <c r="K1046" s="7"/>
      <c r="L1046" s="7"/>
      <c r="M1046" s="7"/>
      <c r="N1046" s="7">
        <v>13.6648</v>
      </c>
      <c r="O1046" s="8">
        <v>11.1908</v>
      </c>
      <c r="P1046" s="7">
        <v>15.1018</v>
      </c>
      <c r="Q1046" s="7">
        <v>15.1018</v>
      </c>
      <c r="R1046" s="7">
        <v>15.1018</v>
      </c>
      <c r="S1046" s="8">
        <v>15.1018</v>
      </c>
    </row>
    <row r="1047" spans="1:19" s="12" customFormat="1" ht="16.5" customHeight="1">
      <c r="A1047" s="3"/>
      <c r="B1047" s="13" t="s">
        <v>440</v>
      </c>
      <c r="C1047" s="7">
        <v>14.9998</v>
      </c>
      <c r="D1047" s="7"/>
      <c r="E1047" s="7">
        <v>16.1023</v>
      </c>
      <c r="F1047" s="7">
        <v>17.21</v>
      </c>
      <c r="G1047" s="7">
        <v>22.5525</v>
      </c>
      <c r="H1047" s="14">
        <v>15.8646</v>
      </c>
      <c r="I1047" s="7">
        <v>13.6552</v>
      </c>
      <c r="J1047" s="7">
        <v>15.1993</v>
      </c>
      <c r="K1047" s="7"/>
      <c r="L1047" s="7"/>
      <c r="M1047" s="7"/>
      <c r="N1047" s="7">
        <v>13.2461</v>
      </c>
      <c r="O1047" s="8">
        <v>10.8393</v>
      </c>
      <c r="P1047" s="7">
        <v>15.1018</v>
      </c>
      <c r="Q1047" s="7">
        <v>15.1018</v>
      </c>
      <c r="R1047" s="7">
        <v>15.1018</v>
      </c>
      <c r="S1047" s="8">
        <v>15.1018</v>
      </c>
    </row>
    <row r="1048" spans="1:19" s="12" customFormat="1" ht="16.5" customHeight="1">
      <c r="A1048" s="3"/>
      <c r="B1048" s="4" t="s">
        <v>13</v>
      </c>
      <c r="C1048" s="11">
        <f>(C1043*7+C1044*7+C1045*7+C1046*7+C1047*3)/31</f>
        <v>15.00876451612903</v>
      </c>
      <c r="D1048" s="11"/>
      <c r="E1048" s="11">
        <f aca="true" t="shared" si="153" ref="E1048:S1048">(E1043*7+E1044*7+E1045*7+E1046*7+E1047*3)/31</f>
        <v>16.11268709677419</v>
      </c>
      <c r="F1048" s="11">
        <f t="shared" si="153"/>
        <v>17.22065806451613</v>
      </c>
      <c r="G1048" s="11">
        <f t="shared" si="153"/>
        <v>22.554690322580647</v>
      </c>
      <c r="H1048" s="11">
        <f t="shared" si="153"/>
        <v>15.872593548387096</v>
      </c>
      <c r="I1048" s="11">
        <f t="shared" si="153"/>
        <v>13.522245161290321</v>
      </c>
      <c r="J1048" s="11">
        <f t="shared" si="153"/>
        <v>15.22382258064516</v>
      </c>
      <c r="K1048" s="11"/>
      <c r="L1048" s="11"/>
      <c r="M1048" s="11"/>
      <c r="N1048" s="11">
        <f t="shared" si="153"/>
        <v>13.28448709677419</v>
      </c>
      <c r="O1048" s="38">
        <f t="shared" si="153"/>
        <v>10.893290322580645</v>
      </c>
      <c r="P1048" s="11">
        <f>(P1043*7+P1044*7+P1045*7+P1046*7+P1047*3)/31</f>
        <v>15.184467741935485</v>
      </c>
      <c r="Q1048" s="11">
        <f t="shared" si="153"/>
        <v>15.184467741935485</v>
      </c>
      <c r="R1048" s="48">
        <f t="shared" si="153"/>
        <v>15.184467741935485</v>
      </c>
      <c r="S1048" s="38">
        <f t="shared" si="153"/>
        <v>15.184467741935485</v>
      </c>
    </row>
    <row r="1049" spans="1:19" s="12" customFormat="1" ht="16.5" customHeight="1">
      <c r="A1049" s="3"/>
      <c r="B1049" s="13" t="s">
        <v>233</v>
      </c>
      <c r="C1049" s="7">
        <v>14.8454</v>
      </c>
      <c r="D1049" s="7"/>
      <c r="E1049" s="7">
        <v>15.9592</v>
      </c>
      <c r="F1049" s="7">
        <v>17.0794</v>
      </c>
      <c r="G1049" s="7">
        <v>22.4913</v>
      </c>
      <c r="H1049" s="14">
        <v>15.7213</v>
      </c>
      <c r="I1049" s="7">
        <v>13.3304</v>
      </c>
      <c r="J1049" s="7">
        <v>14.9122</v>
      </c>
      <c r="K1049" s="7"/>
      <c r="L1049" s="7"/>
      <c r="M1049" s="7"/>
      <c r="N1049" s="7">
        <v>12.9413</v>
      </c>
      <c r="O1049" s="8">
        <v>10.6678</v>
      </c>
      <c r="P1049" s="7">
        <v>15.1018</v>
      </c>
      <c r="Q1049" s="7">
        <v>15.1018</v>
      </c>
      <c r="R1049" s="7">
        <v>15.1018</v>
      </c>
      <c r="S1049" s="8">
        <v>15.1018</v>
      </c>
    </row>
    <row r="1050" spans="1:19" s="12" customFormat="1" ht="16.5" customHeight="1">
      <c r="A1050" s="3"/>
      <c r="B1050" s="13" t="s">
        <v>441</v>
      </c>
      <c r="C1050" s="7">
        <v>14.3554</v>
      </c>
      <c r="D1050" s="7"/>
      <c r="E1050" s="7">
        <v>15.5129</v>
      </c>
      <c r="F1050" s="7">
        <v>16.6819</v>
      </c>
      <c r="G1050" s="7">
        <v>22.3689</v>
      </c>
      <c r="H1050" s="14">
        <v>15.2758</v>
      </c>
      <c r="I1050" s="7">
        <v>12.7359</v>
      </c>
      <c r="J1050" s="7">
        <v>14.4175</v>
      </c>
      <c r="K1050" s="7"/>
      <c r="L1050" s="7"/>
      <c r="M1050" s="7"/>
      <c r="N1050" s="7">
        <v>12.4766</v>
      </c>
      <c r="O1050" s="8">
        <v>10.4953</v>
      </c>
      <c r="P1050" s="7">
        <v>15.0717</v>
      </c>
      <c r="Q1050" s="7">
        <v>15.0717</v>
      </c>
      <c r="R1050" s="7">
        <v>15.0717</v>
      </c>
      <c r="S1050" s="8">
        <v>15.0717</v>
      </c>
    </row>
    <row r="1051" spans="1:19" s="12" customFormat="1" ht="16.5" customHeight="1">
      <c r="A1051" s="3"/>
      <c r="B1051" s="13" t="s">
        <v>442</v>
      </c>
      <c r="C1051" s="7">
        <v>13.7754</v>
      </c>
      <c r="D1051" s="7"/>
      <c r="E1051" s="7">
        <v>14.9846</v>
      </c>
      <c r="F1051" s="7">
        <v>16.2113</v>
      </c>
      <c r="G1051" s="7">
        <v>22.2239</v>
      </c>
      <c r="H1051" s="14">
        <v>14.7484</v>
      </c>
      <c r="I1051" s="7">
        <v>12.5032</v>
      </c>
      <c r="J1051" s="7">
        <v>14.2085</v>
      </c>
      <c r="K1051" s="7"/>
      <c r="L1051" s="7"/>
      <c r="M1051" s="7"/>
      <c r="N1051" s="7">
        <v>12.2847</v>
      </c>
      <c r="O1051" s="8">
        <v>10.3129</v>
      </c>
      <c r="P1051" s="7">
        <v>15.0491</v>
      </c>
      <c r="Q1051" s="7">
        <v>15.0491</v>
      </c>
      <c r="R1051" s="7">
        <v>15.0491</v>
      </c>
      <c r="S1051" s="8">
        <v>15.0491</v>
      </c>
    </row>
    <row r="1052" spans="1:19" s="12" customFormat="1" ht="16.5" customHeight="1">
      <c r="A1052" s="3"/>
      <c r="B1052" s="13" t="s">
        <v>443</v>
      </c>
      <c r="C1052" s="7">
        <v>13.3291</v>
      </c>
      <c r="D1052" s="7"/>
      <c r="E1052" s="7">
        <v>14.5785</v>
      </c>
      <c r="F1052" s="7">
        <v>15.8499</v>
      </c>
      <c r="G1052" s="7">
        <v>22.1123</v>
      </c>
      <c r="H1052" s="14">
        <v>14.3424</v>
      </c>
      <c r="I1052" s="7">
        <v>12.2713</v>
      </c>
      <c r="J1052" s="7">
        <v>13.909</v>
      </c>
      <c r="K1052" s="7"/>
      <c r="L1052" s="7"/>
      <c r="M1052" s="7"/>
      <c r="N1052" s="7">
        <v>12.0423</v>
      </c>
      <c r="O1052" s="8">
        <v>10.1411</v>
      </c>
      <c r="P1052" s="7">
        <v>15.0491</v>
      </c>
      <c r="Q1052" s="7">
        <v>15.0491</v>
      </c>
      <c r="R1052" s="7">
        <v>15.0491</v>
      </c>
      <c r="S1052" s="8">
        <v>15.0491</v>
      </c>
    </row>
    <row r="1053" spans="1:19" s="12" customFormat="1" ht="16.5" customHeight="1">
      <c r="A1053" s="3"/>
      <c r="B1053" s="13" t="s">
        <v>444</v>
      </c>
      <c r="C1053" s="7">
        <v>13.4727</v>
      </c>
      <c r="D1053" s="7"/>
      <c r="E1053" s="7">
        <v>14.7091</v>
      </c>
      <c r="F1053" s="7">
        <v>15.966</v>
      </c>
      <c r="G1053" s="7">
        <v>22.1482</v>
      </c>
      <c r="H1053" s="14">
        <v>14.4731</v>
      </c>
      <c r="I1053" s="7">
        <v>12.2785</v>
      </c>
      <c r="J1053" s="7">
        <v>13.8824</v>
      </c>
      <c r="K1053" s="7"/>
      <c r="L1053" s="7"/>
      <c r="M1053" s="7"/>
      <c r="N1053" s="7">
        <v>12.0482</v>
      </c>
      <c r="O1053" s="8">
        <v>10.1764</v>
      </c>
      <c r="P1053" s="7">
        <v>15.0491</v>
      </c>
      <c r="Q1053" s="7">
        <v>15.0491</v>
      </c>
      <c r="R1053" s="7">
        <v>15.0491</v>
      </c>
      <c r="S1053" s="8">
        <v>15.0491</v>
      </c>
    </row>
    <row r="1054" spans="1:19" s="12" customFormat="1" ht="16.5" customHeight="1">
      <c r="A1054" s="3"/>
      <c r="B1054" s="4" t="s">
        <v>13</v>
      </c>
      <c r="C1054" s="11">
        <f>(C1049*4+C1050*7+C1051*7+C1052*7+C1053*5)/30</f>
        <v>13.898813333333331</v>
      </c>
      <c r="D1054" s="11"/>
      <c r="E1054" s="11">
        <f aca="true" t="shared" si="154" ref="E1054:S1054">(E1049*4+E1050*7+E1051*7+E1052*7+E1053*5)/30</f>
        <v>15.097143333333332</v>
      </c>
      <c r="F1054" s="11">
        <f t="shared" si="154"/>
        <v>16.311643333333333</v>
      </c>
      <c r="G1054" s="11">
        <f t="shared" si="154"/>
        <v>22.25473</v>
      </c>
      <c r="H1054" s="11">
        <f t="shared" si="154"/>
        <v>14.860563333333333</v>
      </c>
      <c r="I1054" s="11">
        <f t="shared" si="154"/>
        <v>12.57623</v>
      </c>
      <c r="J1054" s="11">
        <f t="shared" si="154"/>
        <v>14.226859999999999</v>
      </c>
      <c r="K1054" s="11"/>
      <c r="L1054" s="11"/>
      <c r="M1054" s="11"/>
      <c r="N1054" s="11">
        <f t="shared" si="154"/>
        <v>12.321046666666666</v>
      </c>
      <c r="O1054" s="38">
        <f t="shared" si="154"/>
        <v>10.339943333333334</v>
      </c>
      <c r="P1054" s="11">
        <f t="shared" si="154"/>
        <v>15.0614</v>
      </c>
      <c r="Q1054" s="11">
        <f t="shared" si="154"/>
        <v>15.0614</v>
      </c>
      <c r="R1054" s="48">
        <f t="shared" si="154"/>
        <v>15.0614</v>
      </c>
      <c r="S1054" s="38">
        <f t="shared" si="154"/>
        <v>15.0614</v>
      </c>
    </row>
    <row r="1055" spans="1:19" s="12" customFormat="1" ht="16.5" customHeight="1">
      <c r="A1055" s="3"/>
      <c r="B1055" s="13" t="s">
        <v>238</v>
      </c>
      <c r="C1055" s="7">
        <v>13.7468</v>
      </c>
      <c r="D1055" s="7"/>
      <c r="E1055" s="7">
        <v>14.9666</v>
      </c>
      <c r="F1055" s="7">
        <v>16.2053</v>
      </c>
      <c r="G1055" s="7">
        <v>22.2842</v>
      </c>
      <c r="H1055" s="14">
        <v>14.7305</v>
      </c>
      <c r="I1055" s="7">
        <v>12.6687</v>
      </c>
      <c r="J1055" s="7">
        <v>14.3228</v>
      </c>
      <c r="K1055" s="7"/>
      <c r="L1055" s="7"/>
      <c r="M1055" s="7"/>
      <c r="N1055" s="7">
        <v>12.5143</v>
      </c>
      <c r="O1055" s="8">
        <v>10.3989</v>
      </c>
      <c r="P1055" s="68">
        <v>15.0491</v>
      </c>
      <c r="Q1055" s="7">
        <v>15.0491</v>
      </c>
      <c r="R1055" s="7">
        <v>15.0491</v>
      </c>
      <c r="S1055" s="8">
        <v>15.0491</v>
      </c>
    </row>
    <row r="1056" spans="1:19" s="12" customFormat="1" ht="16.5" customHeight="1">
      <c r="A1056" s="3"/>
      <c r="B1056" s="13" t="s">
        <v>389</v>
      </c>
      <c r="C1056" s="7">
        <v>13.9898</v>
      </c>
      <c r="D1056" s="7"/>
      <c r="E1056" s="7">
        <v>15.1881</v>
      </c>
      <c r="F1056" s="7">
        <v>16.4025</v>
      </c>
      <c r="G1056" s="7">
        <v>22.3449</v>
      </c>
      <c r="H1056" s="14">
        <v>14.9514</v>
      </c>
      <c r="I1056" s="7">
        <v>13.0269</v>
      </c>
      <c r="J1056" s="7">
        <v>14.7867</v>
      </c>
      <c r="K1056" s="7"/>
      <c r="L1056" s="7"/>
      <c r="M1056" s="7"/>
      <c r="N1056" s="7">
        <v>12.9679</v>
      </c>
      <c r="O1056" s="8">
        <v>10.5525</v>
      </c>
      <c r="P1056" s="68">
        <v>14.2341</v>
      </c>
      <c r="Q1056" s="7">
        <v>14.2341</v>
      </c>
      <c r="R1056" s="7">
        <v>14.2341</v>
      </c>
      <c r="S1056" s="8">
        <v>14.2341</v>
      </c>
    </row>
    <row r="1057" spans="1:19" s="12" customFormat="1" ht="16.5" customHeight="1">
      <c r="A1057" s="3"/>
      <c r="B1057" s="13" t="s">
        <v>129</v>
      </c>
      <c r="C1057" s="7">
        <v>13.8843</v>
      </c>
      <c r="D1057" s="7"/>
      <c r="E1057" s="7">
        <v>15.0921</v>
      </c>
      <c r="F1057" s="7">
        <v>16.4025</v>
      </c>
      <c r="G1057" s="7">
        <v>22.3186</v>
      </c>
      <c r="H1057" s="14">
        <v>14.8558</v>
      </c>
      <c r="I1057" s="7">
        <v>12.7391</v>
      </c>
      <c r="J1057" s="7">
        <v>14.4722</v>
      </c>
      <c r="K1057" s="7"/>
      <c r="L1057" s="7"/>
      <c r="M1057" s="7"/>
      <c r="N1057" s="7">
        <v>12.6915</v>
      </c>
      <c r="O1057" s="8">
        <v>10.2826</v>
      </c>
      <c r="P1057" s="68">
        <v>13.6229</v>
      </c>
      <c r="Q1057" s="7">
        <v>13.6229</v>
      </c>
      <c r="R1057" s="7">
        <v>13.6229</v>
      </c>
      <c r="S1057" s="8">
        <v>13.6229</v>
      </c>
    </row>
    <row r="1058" spans="1:19" s="12" customFormat="1" ht="16.5" customHeight="1">
      <c r="A1058" s="3"/>
      <c r="B1058" s="13" t="s">
        <v>390</v>
      </c>
      <c r="C1058" s="7">
        <v>14.153</v>
      </c>
      <c r="D1058" s="7"/>
      <c r="E1058" s="7">
        <v>15.3346</v>
      </c>
      <c r="F1058" s="7">
        <v>16.5316</v>
      </c>
      <c r="G1058" s="7">
        <v>22.3858</v>
      </c>
      <c r="H1058" s="14">
        <v>15.1008</v>
      </c>
      <c r="I1058" s="7">
        <v>12.968</v>
      </c>
      <c r="J1058" s="7">
        <v>14.6631</v>
      </c>
      <c r="K1058" s="7"/>
      <c r="L1058" s="7"/>
      <c r="M1058" s="7"/>
      <c r="N1058" s="7">
        <v>12.8748</v>
      </c>
      <c r="O1058" s="8">
        <v>10.4326</v>
      </c>
      <c r="P1058" s="68">
        <v>13.6229</v>
      </c>
      <c r="Q1058" s="7">
        <v>13.6229</v>
      </c>
      <c r="R1058" s="7">
        <v>13.6229</v>
      </c>
      <c r="S1058" s="8">
        <v>13.6229</v>
      </c>
    </row>
    <row r="1059" spans="1:19" s="12" customFormat="1" ht="16.5" customHeight="1">
      <c r="A1059" s="3"/>
      <c r="B1059" s="13" t="s">
        <v>391</v>
      </c>
      <c r="C1059" s="7">
        <v>14.2578</v>
      </c>
      <c r="D1059" s="7"/>
      <c r="E1059" s="7">
        <v>15.4285</v>
      </c>
      <c r="F1059" s="7">
        <v>16.6143</v>
      </c>
      <c r="G1059" s="7">
        <v>22.4119</v>
      </c>
      <c r="H1059" s="14">
        <v>15.1963</v>
      </c>
      <c r="I1059" s="7">
        <v>13.2113</v>
      </c>
      <c r="J1059" s="7">
        <v>14.8776</v>
      </c>
      <c r="K1059" s="7"/>
      <c r="L1059" s="7"/>
      <c r="M1059" s="7"/>
      <c r="N1059" s="7">
        <v>13.122</v>
      </c>
      <c r="O1059" s="8">
        <v>10.4547</v>
      </c>
      <c r="P1059" s="68">
        <v>13.6229</v>
      </c>
      <c r="Q1059" s="7">
        <v>13.6229</v>
      </c>
      <c r="R1059" s="7">
        <v>13.6229</v>
      </c>
      <c r="S1059" s="8">
        <v>13.6229</v>
      </c>
    </row>
    <row r="1060" spans="1:19" s="12" customFormat="1" ht="16.5" customHeight="1">
      <c r="A1060" s="3"/>
      <c r="B1060" s="13" t="s">
        <v>445</v>
      </c>
      <c r="C1060" s="7">
        <v>14.5439</v>
      </c>
      <c r="D1060" s="7"/>
      <c r="E1060" s="7">
        <v>15.6884</v>
      </c>
      <c r="F1060" s="7">
        <v>16.8454</v>
      </c>
      <c r="G1060" s="7">
        <v>22.4835</v>
      </c>
      <c r="H1060" s="14">
        <v>15.4567</v>
      </c>
      <c r="I1060" s="7">
        <v>13.5252</v>
      </c>
      <c r="J1060" s="7">
        <v>15.1315</v>
      </c>
      <c r="K1060" s="7"/>
      <c r="L1060" s="7"/>
      <c r="M1060" s="7"/>
      <c r="N1060" s="7">
        <v>13.4162</v>
      </c>
      <c r="O1060" s="8">
        <v>10.5587</v>
      </c>
      <c r="P1060" s="68">
        <v>13.6229</v>
      </c>
      <c r="Q1060" s="7">
        <v>13.6229</v>
      </c>
      <c r="R1060" s="7">
        <v>13.6229</v>
      </c>
      <c r="S1060" s="8">
        <v>13.6229</v>
      </c>
    </row>
    <row r="1061" spans="1:19" s="12" customFormat="1" ht="16.5" customHeight="1">
      <c r="A1061" s="3"/>
      <c r="B1061" s="4" t="s">
        <v>13</v>
      </c>
      <c r="C1061" s="11">
        <f>(C1055*2+C1056*7+C1057*7+C1058*7+C1059*7+C1060*1)/31</f>
        <v>14.065541935483871</v>
      </c>
      <c r="D1061" s="11"/>
      <c r="E1061" s="11">
        <f aca="true" t="shared" si="155" ref="E1061:S1061">(E1055*2+E1056*7+E1057*7+E1058*7+E1059*7+E1060*1)/31</f>
        <v>15.255635483870968</v>
      </c>
      <c r="F1061" s="11">
        <f t="shared" si="155"/>
        <v>16.48104193548387</v>
      </c>
      <c r="G1061" s="11">
        <f t="shared" si="155"/>
        <v>22.36388064516129</v>
      </c>
      <c r="H1061" s="11">
        <f t="shared" si="155"/>
        <v>15.020896774193549</v>
      </c>
      <c r="I1061" s="11">
        <f t="shared" si="155"/>
        <v>12.983216129032257</v>
      </c>
      <c r="J1061" s="11">
        <f t="shared" si="155"/>
        <v>14.689493548387096</v>
      </c>
      <c r="K1061" s="11"/>
      <c r="L1061" s="11"/>
      <c r="M1061" s="11"/>
      <c r="N1061" s="11">
        <f t="shared" si="155"/>
        <v>12.90445806451613</v>
      </c>
      <c r="O1061" s="38">
        <f t="shared" si="155"/>
        <v>10.432687096774194</v>
      </c>
      <c r="P1061" s="11">
        <f>(P1055*2+P1056*7+P1057*7+P1058*7+P1059*7+P1060*1)/31</f>
        <v>13.852925806451612</v>
      </c>
      <c r="Q1061" s="11">
        <f t="shared" si="155"/>
        <v>13.852925806451612</v>
      </c>
      <c r="R1061" s="48">
        <f t="shared" si="155"/>
        <v>13.852925806451612</v>
      </c>
      <c r="S1061" s="38">
        <f t="shared" si="155"/>
        <v>13.852925806451612</v>
      </c>
    </row>
    <row r="1062" spans="1:19" s="12" customFormat="1" ht="16.5" customHeight="1">
      <c r="A1062" s="3"/>
      <c r="B1062" s="13" t="s">
        <v>244</v>
      </c>
      <c r="C1062" s="7">
        <v>14.8648</v>
      </c>
      <c r="D1062" s="7"/>
      <c r="E1062" s="7">
        <v>15.7442</v>
      </c>
      <c r="F1062" s="7">
        <v>17.0955</v>
      </c>
      <c r="G1062" s="7">
        <v>22.5262</v>
      </c>
      <c r="H1062" s="14">
        <v>15.9757</v>
      </c>
      <c r="I1062" s="7">
        <v>13.7234</v>
      </c>
      <c r="J1062" s="7">
        <v>15.264</v>
      </c>
      <c r="K1062" s="7"/>
      <c r="L1062" s="7"/>
      <c r="M1062" s="7"/>
      <c r="N1062" s="7">
        <v>13.5575</v>
      </c>
      <c r="O1062" s="8">
        <v>10.5816</v>
      </c>
      <c r="P1062" s="68">
        <v>15.3797</v>
      </c>
      <c r="Q1062" s="7">
        <v>15.3797</v>
      </c>
      <c r="R1062" s="7">
        <v>15.3797</v>
      </c>
      <c r="S1062" s="8">
        <v>15.3797</v>
      </c>
    </row>
    <row r="1063" spans="1:19" s="12" customFormat="1" ht="16.5" customHeight="1">
      <c r="A1063" s="3"/>
      <c r="B1063" s="13" t="s">
        <v>191</v>
      </c>
      <c r="C1063" s="7">
        <v>15.0488</v>
      </c>
      <c r="D1063" s="7"/>
      <c r="E1063" s="7">
        <v>15.9115</v>
      </c>
      <c r="F1063" s="7">
        <v>17.2443</v>
      </c>
      <c r="G1063" s="7">
        <v>22.5722</v>
      </c>
      <c r="H1063" s="14">
        <v>16.143</v>
      </c>
      <c r="I1063" s="7">
        <v>13.6284</v>
      </c>
      <c r="J1063" s="7">
        <v>15.0582</v>
      </c>
      <c r="K1063" s="7"/>
      <c r="L1063" s="7"/>
      <c r="M1063" s="7"/>
      <c r="N1063" s="7">
        <v>13.3574</v>
      </c>
      <c r="O1063" s="8">
        <v>10.6404</v>
      </c>
      <c r="P1063" s="68">
        <v>16.2581</v>
      </c>
      <c r="Q1063" s="7">
        <v>16.2581</v>
      </c>
      <c r="R1063" s="7">
        <v>16.2581</v>
      </c>
      <c r="S1063" s="8">
        <v>16.2581</v>
      </c>
    </row>
    <row r="1064" spans="1:19" s="12" customFormat="1" ht="16.5" customHeight="1">
      <c r="A1064" s="3"/>
      <c r="B1064" s="13" t="s">
        <v>192</v>
      </c>
      <c r="C1064" s="7">
        <v>14.9853</v>
      </c>
      <c r="D1064" s="7"/>
      <c r="E1064" s="7">
        <v>15.8537</v>
      </c>
      <c r="F1064" s="7">
        <v>17.1928</v>
      </c>
      <c r="G1064" s="7">
        <v>22.5563</v>
      </c>
      <c r="H1064" s="14">
        <v>16.0852</v>
      </c>
      <c r="I1064" s="7">
        <v>13.347</v>
      </c>
      <c r="J1064" s="7">
        <v>14.7659</v>
      </c>
      <c r="K1064" s="7"/>
      <c r="L1064" s="7"/>
      <c r="M1064" s="7"/>
      <c r="N1064" s="7">
        <v>13.0859</v>
      </c>
      <c r="O1064" s="8">
        <v>10.3923</v>
      </c>
      <c r="P1064" s="68">
        <v>16.2581</v>
      </c>
      <c r="Q1064" s="7">
        <v>16.2581</v>
      </c>
      <c r="R1064" s="7">
        <v>16.2581</v>
      </c>
      <c r="S1064" s="8">
        <v>16.2581</v>
      </c>
    </row>
    <row r="1065" spans="1:19" s="12" customFormat="1" ht="16.5" customHeight="1">
      <c r="A1065" s="3"/>
      <c r="B1065" s="13" t="s">
        <v>193</v>
      </c>
      <c r="C1065" s="7">
        <v>15.1085</v>
      </c>
      <c r="D1065" s="7"/>
      <c r="E1065" s="7">
        <v>15.9657</v>
      </c>
      <c r="F1065" s="7">
        <v>17.2929</v>
      </c>
      <c r="G1065" s="7">
        <v>22.5871</v>
      </c>
      <c r="H1065" s="14">
        <v>16.1974</v>
      </c>
      <c r="I1065" s="7">
        <v>13.4295</v>
      </c>
      <c r="J1065" s="7">
        <v>14.8204</v>
      </c>
      <c r="K1065" s="7"/>
      <c r="L1065" s="7"/>
      <c r="M1065" s="7"/>
      <c r="N1065" s="7">
        <v>13.1697</v>
      </c>
      <c r="O1065" s="8">
        <v>10.4872</v>
      </c>
      <c r="P1065" s="68">
        <v>16.2581</v>
      </c>
      <c r="Q1065" s="7">
        <v>16.2581</v>
      </c>
      <c r="R1065" s="7">
        <v>16.2581</v>
      </c>
      <c r="S1065" s="8">
        <v>16.2581</v>
      </c>
    </row>
    <row r="1066" spans="1:19" s="12" customFormat="1" ht="16.5" customHeight="1">
      <c r="A1066" s="3"/>
      <c r="B1066" s="13" t="s">
        <v>194</v>
      </c>
      <c r="C1066" s="7">
        <v>15.2918</v>
      </c>
      <c r="D1066" s="7"/>
      <c r="E1066" s="7">
        <v>16.1325</v>
      </c>
      <c r="F1066" s="7">
        <v>17.441</v>
      </c>
      <c r="G1066" s="7">
        <v>22.633</v>
      </c>
      <c r="H1066" s="14">
        <v>16.364</v>
      </c>
      <c r="I1066" s="7">
        <v>13.6985</v>
      </c>
      <c r="J1066" s="7">
        <v>15.0333</v>
      </c>
      <c r="K1066" s="7"/>
      <c r="L1066" s="7"/>
      <c r="M1066" s="7"/>
      <c r="N1066" s="7">
        <v>13.3831</v>
      </c>
      <c r="O1066" s="8">
        <v>10.5532</v>
      </c>
      <c r="P1066" s="68">
        <v>16.2581</v>
      </c>
      <c r="Q1066" s="7">
        <v>16.2581</v>
      </c>
      <c r="R1066" s="7">
        <v>16.2581</v>
      </c>
      <c r="S1066" s="8">
        <v>16.2581</v>
      </c>
    </row>
    <row r="1067" spans="1:19" s="12" customFormat="1" ht="16.5" customHeight="1">
      <c r="A1067" s="3"/>
      <c r="B1067" s="4" t="s">
        <v>13</v>
      </c>
      <c r="C1067" s="11">
        <f>(C1062*6+C1063*7+C1064*7+C1065*7+C1066*4)/31</f>
        <v>15.043683870967742</v>
      </c>
      <c r="D1067" s="11"/>
      <c r="E1067" s="11">
        <f aca="true" t="shared" si="156" ref="E1067:S1067">(E1062*6+E1063*7+E1064*7+E1065*7+E1066*4)/31</f>
        <v>15.90682258064516</v>
      </c>
      <c r="F1067" s="11">
        <f t="shared" si="156"/>
        <v>17.240225806451612</v>
      </c>
      <c r="G1067" s="11">
        <f t="shared" si="156"/>
        <v>22.57091612903226</v>
      </c>
      <c r="H1067" s="11">
        <f t="shared" si="156"/>
        <v>16.138367741935483</v>
      </c>
      <c r="I1067" s="11">
        <f t="shared" si="156"/>
        <v>13.547377419354838</v>
      </c>
      <c r="J1067" s="11">
        <f t="shared" si="156"/>
        <v>14.975119354838709</v>
      </c>
      <c r="K1067" s="11"/>
      <c r="L1067" s="11"/>
      <c r="M1067" s="11"/>
      <c r="N1067" s="11">
        <f t="shared" si="156"/>
        <v>13.295754838709678</v>
      </c>
      <c r="O1067" s="38">
        <f t="shared" si="156"/>
        <v>10.527151612903227</v>
      </c>
      <c r="P1067" s="11">
        <f t="shared" si="156"/>
        <v>16.088087096774192</v>
      </c>
      <c r="Q1067" s="11">
        <f t="shared" si="156"/>
        <v>16.088087096774192</v>
      </c>
      <c r="R1067" s="48">
        <f t="shared" si="156"/>
        <v>16.088087096774192</v>
      </c>
      <c r="S1067" s="38">
        <f t="shared" si="156"/>
        <v>16.088087096774192</v>
      </c>
    </row>
    <row r="1068" spans="1:19" s="12" customFormat="1" ht="16.5" customHeight="1">
      <c r="A1068" s="3"/>
      <c r="B1068" s="13" t="s">
        <v>27</v>
      </c>
      <c r="C1068" s="7">
        <v>15.554</v>
      </c>
      <c r="D1068" s="7"/>
      <c r="E1068" s="7">
        <v>16.6104</v>
      </c>
      <c r="F1068" s="7">
        <v>17.67</v>
      </c>
      <c r="G1068" s="7">
        <v>22.766</v>
      </c>
      <c r="H1068" s="14">
        <v>16.3791</v>
      </c>
      <c r="I1068" s="7">
        <v>13.84</v>
      </c>
      <c r="J1068" s="7">
        <v>15.0787</v>
      </c>
      <c r="K1068" s="7"/>
      <c r="L1068" s="7"/>
      <c r="M1068" s="7"/>
      <c r="N1068" s="7">
        <v>13.432</v>
      </c>
      <c r="O1068" s="8">
        <v>10.489</v>
      </c>
      <c r="P1068" s="68">
        <v>16.2581</v>
      </c>
      <c r="Q1068" s="7">
        <v>16.2581</v>
      </c>
      <c r="R1068" s="7">
        <v>16.2581</v>
      </c>
      <c r="S1068" s="8">
        <v>16.2581</v>
      </c>
    </row>
    <row r="1069" spans="1:19" s="12" customFormat="1" ht="16.5" customHeight="1">
      <c r="A1069" s="3"/>
      <c r="B1069" s="13" t="s">
        <v>195</v>
      </c>
      <c r="C1069" s="7">
        <v>15.6639</v>
      </c>
      <c r="D1069" s="7"/>
      <c r="E1069" s="7">
        <v>16.7101</v>
      </c>
      <c r="F1069" s="7">
        <v>17.7586</v>
      </c>
      <c r="G1069" s="7">
        <v>22.7935</v>
      </c>
      <c r="H1069" s="14">
        <v>16.4791</v>
      </c>
      <c r="I1069" s="7">
        <v>14.1969</v>
      </c>
      <c r="J1069" s="7">
        <v>15.6143</v>
      </c>
      <c r="K1069" s="7"/>
      <c r="L1069" s="7"/>
      <c r="M1069" s="7"/>
      <c r="N1069" s="7">
        <v>13.9992</v>
      </c>
      <c r="O1069" s="8">
        <v>10.8342</v>
      </c>
      <c r="P1069" s="68">
        <v>17.2859</v>
      </c>
      <c r="Q1069" s="7">
        <v>17.2859</v>
      </c>
      <c r="R1069" s="7">
        <v>17.2859</v>
      </c>
      <c r="S1069" s="8">
        <v>17.2859</v>
      </c>
    </row>
    <row r="1070" spans="1:19" s="12" customFormat="1" ht="16.5" customHeight="1">
      <c r="A1070" s="3"/>
      <c r="B1070" s="13" t="s">
        <v>196</v>
      </c>
      <c r="C1070" s="7">
        <v>15.693</v>
      </c>
      <c r="D1070" s="7"/>
      <c r="E1070" s="7">
        <v>16.7363</v>
      </c>
      <c r="F1070" s="7">
        <v>17.7818</v>
      </c>
      <c r="G1070" s="7">
        <v>22.8007</v>
      </c>
      <c r="H1070" s="14">
        <v>16.5056</v>
      </c>
      <c r="I1070" s="7">
        <v>14.3045</v>
      </c>
      <c r="J1070" s="7">
        <v>15.7577</v>
      </c>
      <c r="K1070" s="7"/>
      <c r="L1070" s="7"/>
      <c r="M1070" s="7"/>
      <c r="N1070" s="7">
        <v>14.1631</v>
      </c>
      <c r="O1070" s="8">
        <v>11.0549</v>
      </c>
      <c r="P1070" s="68">
        <v>17.697</v>
      </c>
      <c r="Q1070" s="7">
        <v>17.697</v>
      </c>
      <c r="R1070" s="7">
        <v>17.697</v>
      </c>
      <c r="S1070" s="8">
        <v>17.697</v>
      </c>
    </row>
    <row r="1071" spans="1:19" s="12" customFormat="1" ht="16.5" customHeight="1">
      <c r="A1071" s="3"/>
      <c r="B1071" s="13" t="s">
        <v>197</v>
      </c>
      <c r="C1071" s="7">
        <v>15.5924</v>
      </c>
      <c r="D1071" s="7"/>
      <c r="E1071" s="7">
        <v>16.6447</v>
      </c>
      <c r="F1071" s="7">
        <v>17.7002</v>
      </c>
      <c r="G1071" s="7">
        <v>22.7756</v>
      </c>
      <c r="H1071" s="14">
        <v>16.4141</v>
      </c>
      <c r="I1071" s="7">
        <v>14.5288</v>
      </c>
      <c r="J1071" s="7">
        <v>15.8291</v>
      </c>
      <c r="K1071" s="7"/>
      <c r="L1071" s="7"/>
      <c r="M1071" s="7"/>
      <c r="N1071" s="7">
        <v>14.2144</v>
      </c>
      <c r="O1071" s="8">
        <v>11.2627</v>
      </c>
      <c r="P1071" s="68">
        <v>17.697</v>
      </c>
      <c r="Q1071" s="7">
        <v>17.697</v>
      </c>
      <c r="R1071" s="7">
        <v>17.697</v>
      </c>
      <c r="S1071" s="8">
        <v>17.697</v>
      </c>
    </row>
    <row r="1072" spans="1:19" s="12" customFormat="1" ht="16.5" customHeight="1">
      <c r="A1072" s="3"/>
      <c r="B1072" s="13" t="s">
        <v>198</v>
      </c>
      <c r="C1072" s="7">
        <v>15.6925</v>
      </c>
      <c r="D1072" s="7"/>
      <c r="E1072" s="7">
        <v>16.7366</v>
      </c>
      <c r="F1072" s="7">
        <v>17.7824</v>
      </c>
      <c r="G1072" s="7">
        <v>22.8006</v>
      </c>
      <c r="H1072" s="14">
        <v>16.5051</v>
      </c>
      <c r="I1072" s="7">
        <v>15.0053</v>
      </c>
      <c r="J1072" s="7">
        <v>16.1372</v>
      </c>
      <c r="K1072" s="7"/>
      <c r="L1072" s="7"/>
      <c r="M1072" s="7"/>
      <c r="N1072" s="7">
        <v>14.5247</v>
      </c>
      <c r="O1072" s="8">
        <v>11.4253</v>
      </c>
      <c r="P1072" s="68">
        <v>17.697</v>
      </c>
      <c r="Q1072" s="7">
        <v>17.697</v>
      </c>
      <c r="R1072" s="7">
        <v>17.697</v>
      </c>
      <c r="S1072" s="8">
        <v>17.697</v>
      </c>
    </row>
    <row r="1073" spans="1:19" s="12" customFormat="1" ht="16.5" customHeight="1">
      <c r="A1073" s="3"/>
      <c r="B1073" s="4" t="s">
        <v>13</v>
      </c>
      <c r="C1073" s="11">
        <f>(C1068*3+C1069*7+C1070*7+C1071*7+C1072*6)/30</f>
        <v>15.648736666666666</v>
      </c>
      <c r="D1073" s="11"/>
      <c r="E1073" s="11">
        <f aca="true" t="shared" si="157" ref="E1073:S1073">(E1068*3+E1069*7+E1070*7+E1071*7+E1072*6)/30</f>
        <v>16.696283333333334</v>
      </c>
      <c r="F1073" s="11">
        <f t="shared" si="157"/>
        <v>17.746286666666666</v>
      </c>
      <c r="G1073" s="11">
        <f>(G1068*3+G1069*7+G1070*7+G1071*7+G1072*6)/30</f>
        <v>22.789673333333333</v>
      </c>
      <c r="H1073" s="11">
        <f t="shared" si="157"/>
        <v>16.465316666666666</v>
      </c>
      <c r="I1073" s="11">
        <f t="shared" si="157"/>
        <v>14.42544</v>
      </c>
      <c r="J1073" s="11">
        <f t="shared" si="157"/>
        <v>15.748899999999999</v>
      </c>
      <c r="K1073" s="11"/>
      <c r="L1073" s="11"/>
      <c r="M1073" s="11"/>
      <c r="N1073" s="11">
        <f t="shared" si="157"/>
        <v>14.136036666666666</v>
      </c>
      <c r="O1073" s="38">
        <f t="shared" si="157"/>
        <v>11.06938</v>
      </c>
      <c r="P1073" s="11">
        <f t="shared" si="157"/>
        <v>17.457186666666665</v>
      </c>
      <c r="Q1073" s="11">
        <f t="shared" si="157"/>
        <v>17.457186666666665</v>
      </c>
      <c r="R1073" s="48">
        <f t="shared" si="157"/>
        <v>17.457186666666665</v>
      </c>
      <c r="S1073" s="38">
        <f t="shared" si="157"/>
        <v>17.457186666666665</v>
      </c>
    </row>
    <row r="1074" spans="1:19" s="12" customFormat="1" ht="16.5" customHeight="1">
      <c r="A1074" s="3"/>
      <c r="B1074" s="13" t="s">
        <v>253</v>
      </c>
      <c r="C1074" s="7">
        <v>15.7475</v>
      </c>
      <c r="D1074" s="7"/>
      <c r="E1074" s="7">
        <v>16.774</v>
      </c>
      <c r="F1074" s="7">
        <v>17.7997</v>
      </c>
      <c r="G1074" s="7">
        <v>22.7019</v>
      </c>
      <c r="H1074" s="14">
        <v>16.5414</v>
      </c>
      <c r="I1074" s="7">
        <v>15.1353</v>
      </c>
      <c r="J1074" s="7">
        <v>16.3445</v>
      </c>
      <c r="K1074" s="7"/>
      <c r="L1074" s="7"/>
      <c r="M1074" s="7"/>
      <c r="N1074" s="7">
        <v>14.7409</v>
      </c>
      <c r="O1074" s="8">
        <v>11.5313</v>
      </c>
      <c r="P1074" s="68">
        <v>17.697</v>
      </c>
      <c r="Q1074" s="7">
        <v>17.697</v>
      </c>
      <c r="R1074" s="7">
        <v>17.697</v>
      </c>
      <c r="S1074" s="8">
        <v>17.697</v>
      </c>
    </row>
    <row r="1075" spans="1:19" s="12" customFormat="1" ht="16.5" customHeight="1">
      <c r="A1075" s="3"/>
      <c r="B1075" s="13" t="s">
        <v>199</v>
      </c>
      <c r="C1075" s="7">
        <v>15.5175</v>
      </c>
      <c r="D1075" s="7"/>
      <c r="E1075" s="7">
        <v>16.5648</v>
      </c>
      <c r="F1075" s="7">
        <v>17.6136</v>
      </c>
      <c r="G1075" s="7">
        <v>22.6444</v>
      </c>
      <c r="H1075" s="14">
        <v>16.3322</v>
      </c>
      <c r="I1075" s="7">
        <v>14.656</v>
      </c>
      <c r="J1075" s="7">
        <v>15.9637</v>
      </c>
      <c r="K1075" s="7"/>
      <c r="L1075" s="7"/>
      <c r="M1075" s="7"/>
      <c r="N1075" s="7">
        <v>14.3475</v>
      </c>
      <c r="O1075" s="8">
        <v>11.3372</v>
      </c>
      <c r="P1075" s="68">
        <v>19.4253</v>
      </c>
      <c r="Q1075" s="7">
        <v>19.4253</v>
      </c>
      <c r="R1075" s="7">
        <v>19.4253</v>
      </c>
      <c r="S1075" s="8">
        <v>19.4253</v>
      </c>
    </row>
    <row r="1076" spans="1:19" s="12" customFormat="1" ht="16.5" customHeight="1">
      <c r="A1076" s="3"/>
      <c r="B1076" s="13" t="s">
        <v>200</v>
      </c>
      <c r="C1076" s="7">
        <v>15.478</v>
      </c>
      <c r="D1076" s="7"/>
      <c r="E1076" s="7">
        <v>16.5281</v>
      </c>
      <c r="F1076" s="7">
        <v>17.5805</v>
      </c>
      <c r="G1076" s="7">
        <v>22.6345</v>
      </c>
      <c r="H1076" s="14">
        <v>16.2964</v>
      </c>
      <c r="I1076" s="7">
        <v>14.3977</v>
      </c>
      <c r="J1076" s="7">
        <v>15.7938</v>
      </c>
      <c r="K1076" s="7"/>
      <c r="L1076" s="7"/>
      <c r="M1076" s="7"/>
      <c r="N1076" s="7">
        <v>14.1761</v>
      </c>
      <c r="O1076" s="8">
        <v>11.2688</v>
      </c>
      <c r="P1076" s="68">
        <v>20.7216</v>
      </c>
      <c r="Q1076" s="7">
        <v>20.7216</v>
      </c>
      <c r="R1076" s="7">
        <v>20.7216</v>
      </c>
      <c r="S1076" s="8">
        <v>20.7216</v>
      </c>
    </row>
    <row r="1077" spans="1:19" s="12" customFormat="1" ht="16.5" customHeight="1">
      <c r="A1077" s="3"/>
      <c r="B1077" s="13" t="s">
        <v>201</v>
      </c>
      <c r="C1077" s="7">
        <v>15.6859</v>
      </c>
      <c r="D1077" s="7"/>
      <c r="E1077" s="7">
        <v>16.7165</v>
      </c>
      <c r="F1077" s="7">
        <v>17.7476</v>
      </c>
      <c r="G1077" s="7">
        <v>22.6865</v>
      </c>
      <c r="H1077" s="14">
        <v>16.4854</v>
      </c>
      <c r="I1077" s="7">
        <v>14.5864</v>
      </c>
      <c r="J1077" s="7">
        <v>15.9081</v>
      </c>
      <c r="K1077" s="7"/>
      <c r="L1077" s="7"/>
      <c r="M1077" s="7"/>
      <c r="N1077" s="7">
        <v>14.3144</v>
      </c>
      <c r="O1077" s="8">
        <v>11.4648</v>
      </c>
      <c r="P1077" s="68">
        <v>20.7216</v>
      </c>
      <c r="Q1077" s="7">
        <v>20.7216</v>
      </c>
      <c r="R1077" s="7">
        <v>20.7216</v>
      </c>
      <c r="S1077" s="8">
        <v>20.7216</v>
      </c>
    </row>
    <row r="1078" spans="1:19" s="12" customFormat="1" ht="16.5" customHeight="1">
      <c r="A1078" s="3"/>
      <c r="B1078" s="13" t="s">
        <v>202</v>
      </c>
      <c r="C1078" s="7">
        <v>15.7229</v>
      </c>
      <c r="D1078" s="7"/>
      <c r="E1078" s="7">
        <v>16.7506</v>
      </c>
      <c r="F1078" s="7">
        <v>17.7783</v>
      </c>
      <c r="G1078" s="7">
        <v>22.6957</v>
      </c>
      <c r="H1078" s="14">
        <v>16.5187</v>
      </c>
      <c r="I1078" s="7">
        <v>14.7477</v>
      </c>
      <c r="J1078" s="7">
        <v>15.9721</v>
      </c>
      <c r="K1078" s="7"/>
      <c r="L1078" s="7"/>
      <c r="M1078" s="7"/>
      <c r="N1078" s="7">
        <v>14.376</v>
      </c>
      <c r="O1078" s="8">
        <v>11.5721</v>
      </c>
      <c r="P1078" s="68">
        <v>20.7216</v>
      </c>
      <c r="Q1078" s="7">
        <v>20.7216</v>
      </c>
      <c r="R1078" s="7">
        <v>20.7216</v>
      </c>
      <c r="S1078" s="8">
        <v>20.7216</v>
      </c>
    </row>
    <row r="1079" spans="1:19" s="12" customFormat="1" ht="16.5" customHeight="1">
      <c r="A1079" s="3"/>
      <c r="B1079" s="13" t="s">
        <v>203</v>
      </c>
      <c r="C1079" s="7">
        <v>16.0903</v>
      </c>
      <c r="D1079" s="7"/>
      <c r="E1079" s="7">
        <v>17.0853</v>
      </c>
      <c r="F1079" s="7">
        <v>18.0765</v>
      </c>
      <c r="G1079" s="7">
        <v>22.7876</v>
      </c>
      <c r="H1079" s="14">
        <v>16.8528</v>
      </c>
      <c r="I1079" s="7">
        <v>15.1192</v>
      </c>
      <c r="J1079" s="7">
        <v>16.3027</v>
      </c>
      <c r="K1079" s="7"/>
      <c r="L1079" s="7"/>
      <c r="M1079" s="7"/>
      <c r="N1079" s="7">
        <v>14.7155</v>
      </c>
      <c r="O1079" s="8">
        <v>11.8355</v>
      </c>
      <c r="P1079" s="68">
        <v>20.7216</v>
      </c>
      <c r="Q1079" s="7">
        <v>20.7216</v>
      </c>
      <c r="R1079" s="7">
        <v>20.7216</v>
      </c>
      <c r="S1079" s="8">
        <v>20.7216</v>
      </c>
    </row>
    <row r="1080" spans="1:19" s="12" customFormat="1" ht="16.5" customHeight="1">
      <c r="A1080" s="3"/>
      <c r="B1080" s="4" t="s">
        <v>13</v>
      </c>
      <c r="C1080" s="11">
        <f>(C1074*1+C1075*7+C1076*7+C1077*7+C1078*7+C1079*2)/31</f>
        <v>15.63736129032258</v>
      </c>
      <c r="D1080" s="11"/>
      <c r="E1080" s="11">
        <f aca="true" t="shared" si="158" ref="E1080:R1080">(E1074*1+E1075*7+E1076*7+E1077*7+E1078*7+E1079*2)/31</f>
        <v>16.673051612903226</v>
      </c>
      <c r="F1080" s="11">
        <f t="shared" si="158"/>
        <v>17.70944193548387</v>
      </c>
      <c r="G1080" s="11">
        <f t="shared" si="158"/>
        <v>22.674348387096774</v>
      </c>
      <c r="H1080" s="11">
        <f t="shared" si="158"/>
        <v>16.441158064516127</v>
      </c>
      <c r="I1080" s="11">
        <f t="shared" si="158"/>
        <v>14.648009677419354</v>
      </c>
      <c r="J1080" s="11">
        <f t="shared" si="158"/>
        <v>15.948832258064517</v>
      </c>
      <c r="K1080" s="11"/>
      <c r="L1080" s="11"/>
      <c r="M1080" s="11"/>
      <c r="N1080" s="11">
        <f t="shared" si="158"/>
        <v>14.344190322580644</v>
      </c>
      <c r="O1080" s="38">
        <f t="shared" si="158"/>
        <v>11.44201935483871</v>
      </c>
      <c r="P1080" s="11">
        <f t="shared" si="158"/>
        <v>20.331319354838712</v>
      </c>
      <c r="Q1080" s="11">
        <f t="shared" si="158"/>
        <v>20.331319354838712</v>
      </c>
      <c r="R1080" s="48">
        <f t="shared" si="158"/>
        <v>20.331319354838712</v>
      </c>
      <c r="S1080" s="38">
        <f>(S1074*1+S1075*7+S1076*7+S1077*7+S1078*7+S1079*2)/31</f>
        <v>20.331319354838712</v>
      </c>
    </row>
    <row r="1081" spans="1:19" s="12" customFormat="1" ht="16.5" customHeight="1">
      <c r="A1081" s="3"/>
      <c r="B1081" s="13" t="s">
        <v>89</v>
      </c>
      <c r="C1081" s="7">
        <v>16.3576</v>
      </c>
      <c r="D1081" s="7"/>
      <c r="E1081" s="7">
        <v>17.3516</v>
      </c>
      <c r="F1081" s="7">
        <v>18.2768</v>
      </c>
      <c r="G1081" s="7">
        <v>22.7944</v>
      </c>
      <c r="H1081" s="14">
        <v>17.0889</v>
      </c>
      <c r="I1081" s="7">
        <v>15.2395</v>
      </c>
      <c r="J1081" s="7">
        <v>16.3821</v>
      </c>
      <c r="K1081" s="7"/>
      <c r="L1081" s="7"/>
      <c r="M1081" s="7"/>
      <c r="N1081" s="7">
        <v>14.8022</v>
      </c>
      <c r="O1081" s="8">
        <v>12.187</v>
      </c>
      <c r="P1081" s="68">
        <v>20.7216</v>
      </c>
      <c r="Q1081" s="7">
        <v>20.7216</v>
      </c>
      <c r="R1081" s="7">
        <v>20.7216</v>
      </c>
      <c r="S1081" s="8">
        <v>20.7216</v>
      </c>
    </row>
    <row r="1082" spans="1:19" s="12" customFormat="1" ht="16.5" customHeight="1">
      <c r="A1082" s="3"/>
      <c r="B1082" s="13" t="s">
        <v>204</v>
      </c>
      <c r="C1082" s="7">
        <v>16.847</v>
      </c>
      <c r="D1082" s="7"/>
      <c r="E1082" s="7">
        <v>17.3323</v>
      </c>
      <c r="F1082" s="7">
        <v>18.673</v>
      </c>
      <c r="G1082" s="7">
        <v>22.9167</v>
      </c>
      <c r="H1082" s="14">
        <v>17.5341</v>
      </c>
      <c r="I1082" s="7">
        <v>15.7564</v>
      </c>
      <c r="J1082" s="7">
        <v>16.5896</v>
      </c>
      <c r="K1082" s="7"/>
      <c r="L1082" s="7"/>
      <c r="M1082" s="7"/>
      <c r="N1082" s="7">
        <v>15.0465</v>
      </c>
      <c r="O1082" s="8">
        <v>12.6193</v>
      </c>
      <c r="P1082" s="68">
        <v>20.5125</v>
      </c>
      <c r="Q1082" s="7">
        <v>20.5125</v>
      </c>
      <c r="R1082" s="7">
        <v>20.5125</v>
      </c>
      <c r="S1082" s="8">
        <v>20.5125</v>
      </c>
    </row>
    <row r="1083" spans="1:19" s="12" customFormat="1" ht="16.5" customHeight="1">
      <c r="A1083" s="3"/>
      <c r="B1083" s="13" t="s">
        <v>205</v>
      </c>
      <c r="C1083" s="7">
        <v>16.6706</v>
      </c>
      <c r="D1083" s="7"/>
      <c r="E1083" s="7">
        <v>17.3317</v>
      </c>
      <c r="F1083" s="7">
        <v>18.5293</v>
      </c>
      <c r="G1083" s="7">
        <v>22.8726</v>
      </c>
      <c r="H1083" s="14">
        <v>17.3737</v>
      </c>
      <c r="I1083" s="7">
        <v>15.7392</v>
      </c>
      <c r="J1083" s="7">
        <v>16.6526</v>
      </c>
      <c r="K1083" s="7"/>
      <c r="L1083" s="7"/>
      <c r="M1083" s="7"/>
      <c r="N1083" s="7">
        <v>15.1147</v>
      </c>
      <c r="O1083" s="8">
        <v>12.2965</v>
      </c>
      <c r="P1083" s="68">
        <v>20.4335</v>
      </c>
      <c r="Q1083" s="7">
        <v>20.4335</v>
      </c>
      <c r="R1083" s="7">
        <v>20.4335</v>
      </c>
      <c r="S1083" s="8">
        <v>20.4335</v>
      </c>
    </row>
    <row r="1084" spans="1:19" s="12" customFormat="1" ht="16.5" customHeight="1">
      <c r="A1084" s="3"/>
      <c r="B1084" s="13" t="s">
        <v>206</v>
      </c>
      <c r="C1084" s="7">
        <v>16.5097</v>
      </c>
      <c r="D1084" s="7"/>
      <c r="E1084" s="7">
        <v>17.3317</v>
      </c>
      <c r="F1084" s="7">
        <v>18.3967</v>
      </c>
      <c r="G1084" s="7">
        <v>22.8324</v>
      </c>
      <c r="H1084" s="14">
        <v>17.2277</v>
      </c>
      <c r="I1084" s="7">
        <v>15.7313</v>
      </c>
      <c r="J1084" s="7">
        <v>16.7801</v>
      </c>
      <c r="K1084" s="7"/>
      <c r="L1084" s="7"/>
      <c r="M1084" s="7"/>
      <c r="N1084" s="7">
        <v>15.267</v>
      </c>
      <c r="O1084" s="8">
        <v>12.23</v>
      </c>
      <c r="P1084" s="68">
        <v>20.4648</v>
      </c>
      <c r="Q1084" s="7">
        <v>20.4648</v>
      </c>
      <c r="R1084" s="7">
        <v>20.4648</v>
      </c>
      <c r="S1084" s="8">
        <v>20.4648</v>
      </c>
    </row>
    <row r="1085" spans="1:19" s="12" customFormat="1" ht="16.5" customHeight="1">
      <c r="A1085" s="3"/>
      <c r="B1085" s="13" t="s">
        <v>207</v>
      </c>
      <c r="C1085" s="7">
        <v>16.6003</v>
      </c>
      <c r="D1085" s="7"/>
      <c r="E1085" s="7">
        <v>17.3317</v>
      </c>
      <c r="F1085" s="7">
        <v>18.469</v>
      </c>
      <c r="G1085" s="7">
        <v>22.8551</v>
      </c>
      <c r="H1085" s="14">
        <v>17.3102</v>
      </c>
      <c r="I1085" s="7">
        <v>15.7762</v>
      </c>
      <c r="J1085" s="7">
        <v>16.7506</v>
      </c>
      <c r="K1085" s="7"/>
      <c r="L1085" s="7"/>
      <c r="M1085" s="7"/>
      <c r="N1085" s="7">
        <v>15.2888</v>
      </c>
      <c r="O1085" s="8">
        <v>12.2024</v>
      </c>
      <c r="P1085" s="68">
        <v>20.4375</v>
      </c>
      <c r="Q1085" s="7">
        <v>20.4375</v>
      </c>
      <c r="R1085" s="7">
        <v>20.4375</v>
      </c>
      <c r="S1085" s="8">
        <v>20.4375</v>
      </c>
    </row>
    <row r="1086" spans="1:19" s="12" customFormat="1" ht="16.5" customHeight="1">
      <c r="A1086" s="3"/>
      <c r="B1086" s="4" t="s">
        <v>13</v>
      </c>
      <c r="C1086" s="11">
        <f>(C1081*5+C1082*7+C1083*7+C1084*7+C1085*4)/30</f>
        <v>16.61267666666667</v>
      </c>
      <c r="D1086" s="11"/>
      <c r="E1086" s="11">
        <f aca="true" t="shared" si="159" ref="E1086:S1086">(E1081*5+E1082*7+E1083*7+E1084*7+E1085*4)/30</f>
        <v>17.335156666666666</v>
      </c>
      <c r="F1086" s="11">
        <f t="shared" si="159"/>
        <v>18.481766666666665</v>
      </c>
      <c r="G1086" s="11">
        <f t="shared" si="159"/>
        <v>22.858143333333327</v>
      </c>
      <c r="H1086" s="11">
        <f t="shared" si="159"/>
        <v>17.321126666666668</v>
      </c>
      <c r="I1086" s="11">
        <f t="shared" si="159"/>
        <v>15.66302</v>
      </c>
      <c r="J1086" s="11">
        <f t="shared" si="159"/>
        <v>16.63563333333333</v>
      </c>
      <c r="K1086" s="11"/>
      <c r="L1086" s="11"/>
      <c r="M1086" s="11"/>
      <c r="N1086" s="11">
        <f t="shared" si="159"/>
        <v>15.105453333333335</v>
      </c>
      <c r="O1086" s="38">
        <f t="shared" si="159"/>
        <v>12.325506666666666</v>
      </c>
      <c r="P1086" s="11">
        <f t="shared" si="159"/>
        <v>20.507786666666668</v>
      </c>
      <c r="Q1086" s="11">
        <f>(Q1081*5+Q1082*7+Q1083*7+Q1084*7+Q1085*4)/30</f>
        <v>20.507786666666668</v>
      </c>
      <c r="R1086" s="48">
        <f t="shared" si="159"/>
        <v>20.507786666666668</v>
      </c>
      <c r="S1086" s="38">
        <f t="shared" si="159"/>
        <v>20.507786666666668</v>
      </c>
    </row>
    <row r="1087" spans="1:19" s="12" customFormat="1" ht="16.5" customHeight="1">
      <c r="A1087" s="3"/>
      <c r="B1087" s="13" t="s">
        <v>40</v>
      </c>
      <c r="C1087" s="7">
        <v>16.5145</v>
      </c>
      <c r="D1087" s="7"/>
      <c r="E1087" s="7">
        <v>17.4451</v>
      </c>
      <c r="F1087" s="7">
        <v>18.3669</v>
      </c>
      <c r="G1087" s="7">
        <v>22.7061</v>
      </c>
      <c r="H1087" s="14">
        <v>17.2169</v>
      </c>
      <c r="I1087" s="7">
        <v>15.5674</v>
      </c>
      <c r="J1087" s="7">
        <v>16.5624</v>
      </c>
      <c r="K1087" s="7"/>
      <c r="L1087" s="7"/>
      <c r="M1087" s="7"/>
      <c r="N1087" s="7">
        <v>15.0902</v>
      </c>
      <c r="O1087" s="8">
        <v>12.1177</v>
      </c>
      <c r="P1087" s="68">
        <v>20.4263</v>
      </c>
      <c r="Q1087" s="7">
        <v>20.4263</v>
      </c>
      <c r="R1087" s="7">
        <v>20.4263</v>
      </c>
      <c r="S1087" s="8">
        <v>20.4263</v>
      </c>
    </row>
    <row r="1088" spans="1:19" s="12" customFormat="1" ht="16.5" customHeight="1">
      <c r="A1088" s="3"/>
      <c r="B1088" s="13" t="s">
        <v>208</v>
      </c>
      <c r="C1088" s="7">
        <v>16.3405</v>
      </c>
      <c r="D1088" s="7"/>
      <c r="E1088" s="7">
        <v>17.2869</v>
      </c>
      <c r="F1088" s="7">
        <v>18.2262</v>
      </c>
      <c r="G1088" s="7">
        <v>22.6626</v>
      </c>
      <c r="H1088" s="14">
        <v>17.0586</v>
      </c>
      <c r="I1088" s="7">
        <v>15.479</v>
      </c>
      <c r="J1088" s="7">
        <v>16.4897</v>
      </c>
      <c r="K1088" s="7"/>
      <c r="L1088" s="7"/>
      <c r="M1088" s="7"/>
      <c r="N1088" s="7">
        <v>15.0513</v>
      </c>
      <c r="O1088" s="8">
        <v>11.9348</v>
      </c>
      <c r="P1088" s="68">
        <v>20.3629</v>
      </c>
      <c r="Q1088" s="7">
        <v>20.3629</v>
      </c>
      <c r="R1088" s="7">
        <v>20.3629</v>
      </c>
      <c r="S1088" s="8">
        <v>20.3629</v>
      </c>
    </row>
    <row r="1089" spans="1:19" s="12" customFormat="1" ht="16.5" customHeight="1">
      <c r="A1089" s="3"/>
      <c r="B1089" s="13" t="s">
        <v>209</v>
      </c>
      <c r="C1089" s="7">
        <v>16.4108</v>
      </c>
      <c r="D1089" s="7"/>
      <c r="E1089" s="7">
        <v>17.3505</v>
      </c>
      <c r="F1089" s="7">
        <v>18.2826</v>
      </c>
      <c r="G1089" s="7">
        <v>22.6802</v>
      </c>
      <c r="H1089" s="14">
        <v>17.1226</v>
      </c>
      <c r="I1089" s="7">
        <v>15.6989</v>
      </c>
      <c r="J1089" s="7">
        <v>16.7066</v>
      </c>
      <c r="K1089" s="7"/>
      <c r="L1089" s="7"/>
      <c r="M1089" s="7"/>
      <c r="N1089" s="7">
        <v>15.3079</v>
      </c>
      <c r="O1089" s="8">
        <v>11.9591</v>
      </c>
      <c r="P1089" s="68">
        <v>20.1246</v>
      </c>
      <c r="Q1089" s="7">
        <v>20.1246</v>
      </c>
      <c r="R1089" s="7">
        <v>20.1246</v>
      </c>
      <c r="S1089" s="8">
        <v>20.1246</v>
      </c>
    </row>
    <row r="1090" spans="1:19" s="12" customFormat="1" ht="16.5" customHeight="1">
      <c r="A1090" s="3"/>
      <c r="B1090" s="13" t="s">
        <v>210</v>
      </c>
      <c r="C1090" s="7">
        <v>16.4049</v>
      </c>
      <c r="D1090" s="7"/>
      <c r="E1090" s="7">
        <v>17.3458</v>
      </c>
      <c r="F1090" s="7">
        <v>18.2788</v>
      </c>
      <c r="G1090" s="7">
        <v>22.6787</v>
      </c>
      <c r="H1090" s="14">
        <v>17.1172</v>
      </c>
      <c r="I1090" s="7">
        <v>15.8704</v>
      </c>
      <c r="J1090" s="7">
        <v>16.8997</v>
      </c>
      <c r="K1090" s="7"/>
      <c r="L1090" s="7"/>
      <c r="M1090" s="7"/>
      <c r="N1090" s="7">
        <v>15.4989</v>
      </c>
      <c r="O1090" s="8">
        <v>12.2287</v>
      </c>
      <c r="P1090" s="68">
        <v>19.5962</v>
      </c>
      <c r="Q1090" s="7">
        <v>19.5962</v>
      </c>
      <c r="R1090" s="7">
        <v>19.5962</v>
      </c>
      <c r="S1090" s="8">
        <v>19.5962</v>
      </c>
    </row>
    <row r="1091" spans="1:19" s="12" customFormat="1" ht="16.5" customHeight="1">
      <c r="A1091" s="3"/>
      <c r="B1091" s="13" t="s">
        <v>211</v>
      </c>
      <c r="C1091" s="7">
        <v>16.6245</v>
      </c>
      <c r="D1091" s="7"/>
      <c r="E1091" s="7">
        <v>17.5459</v>
      </c>
      <c r="F1091" s="7">
        <v>18.4571</v>
      </c>
      <c r="G1091" s="7">
        <v>22.7336</v>
      </c>
      <c r="H1091" s="14">
        <v>17.3169</v>
      </c>
      <c r="I1091" s="7">
        <v>16.3472</v>
      </c>
      <c r="J1091" s="7">
        <v>17.3025</v>
      </c>
      <c r="K1091" s="7"/>
      <c r="L1091" s="7"/>
      <c r="M1091" s="7"/>
      <c r="N1091" s="7">
        <v>15.9144</v>
      </c>
      <c r="O1091" s="8">
        <v>12.4708</v>
      </c>
      <c r="P1091" s="68">
        <v>19.9135</v>
      </c>
      <c r="Q1091" s="7">
        <v>19.9135</v>
      </c>
      <c r="R1091" s="7">
        <v>19.9135</v>
      </c>
      <c r="S1091" s="8">
        <v>19.9135</v>
      </c>
    </row>
    <row r="1092" spans="1:19" s="12" customFormat="1" ht="16.5" customHeight="1">
      <c r="A1092" s="3"/>
      <c r="B1092" s="4" t="s">
        <v>13</v>
      </c>
      <c r="C1092" s="11">
        <f>(C1087*3+C1088*7+C1089*7+C1090*7+C1091*7)/31</f>
        <v>16.45188387096774</v>
      </c>
      <c r="D1092" s="11"/>
      <c r="E1092" s="11">
        <f aca="true" t="shared" si="160" ref="E1092:S1092">(E1087*3+E1088*7+E1089*7+E1090*7+E1091*7)/31</f>
        <v>17.388354838709677</v>
      </c>
      <c r="F1092" s="11">
        <f t="shared" si="160"/>
        <v>18.316567741935483</v>
      </c>
      <c r="G1092" s="11">
        <f t="shared" si="160"/>
        <v>22.690451612903225</v>
      </c>
      <c r="H1092" s="11">
        <f t="shared" si="160"/>
        <v>17.159929032258063</v>
      </c>
      <c r="I1092" s="11">
        <f>(I1087*3+I1088*7+I1089*7+I1090*7+I1091*7)/31</f>
        <v>15.821635483870969</v>
      </c>
      <c r="J1092" s="11">
        <f t="shared" si="160"/>
        <v>16.821829032258062</v>
      </c>
      <c r="K1092" s="11"/>
      <c r="L1092" s="11"/>
      <c r="M1092" s="11"/>
      <c r="N1092" s="11">
        <f t="shared" si="160"/>
        <v>15.408970967741936</v>
      </c>
      <c r="O1092" s="38">
        <f t="shared" si="160"/>
        <v>12.145383870967741</v>
      </c>
      <c r="P1092" s="11">
        <f t="shared" si="160"/>
        <v>20.040622580645163</v>
      </c>
      <c r="Q1092" s="11">
        <f t="shared" si="160"/>
        <v>20.040622580645163</v>
      </c>
      <c r="R1092" s="48">
        <f t="shared" si="160"/>
        <v>20.040622580645163</v>
      </c>
      <c r="S1092" s="38">
        <f t="shared" si="160"/>
        <v>20.040622580645163</v>
      </c>
    </row>
    <row r="1093" spans="1:19" s="12" customFormat="1" ht="16.5" customHeight="1">
      <c r="A1093" s="20"/>
      <c r="B1093" s="19">
        <v>2018</v>
      </c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39"/>
      <c r="P1093" s="14"/>
      <c r="S1093" s="15"/>
    </row>
    <row r="1094" spans="1:19" s="12" customFormat="1" ht="16.5" customHeight="1">
      <c r="A1094" s="3"/>
      <c r="B1094" s="13" t="s">
        <v>212</v>
      </c>
      <c r="C1094" s="7">
        <v>16.5701</v>
      </c>
      <c r="D1094" s="7"/>
      <c r="E1094" s="7">
        <v>17.4769</v>
      </c>
      <c r="F1094" s="7">
        <v>18.3728</v>
      </c>
      <c r="G1094" s="7">
        <v>22.57</v>
      </c>
      <c r="H1094" s="14">
        <v>17.2496</v>
      </c>
      <c r="I1094" s="7">
        <v>16.5891</v>
      </c>
      <c r="J1094" s="7">
        <v>17.4811</v>
      </c>
      <c r="K1094" s="7"/>
      <c r="L1094" s="7"/>
      <c r="M1094" s="7"/>
      <c r="N1094" s="7">
        <v>16.1203</v>
      </c>
      <c r="O1094" s="8">
        <v>12.4476</v>
      </c>
      <c r="P1094" s="7">
        <v>20.2142</v>
      </c>
      <c r="Q1094" s="7">
        <v>20.2142</v>
      </c>
      <c r="R1094" s="7">
        <v>20.2142</v>
      </c>
      <c r="S1094" s="8">
        <v>20.2142</v>
      </c>
    </row>
    <row r="1095" spans="1:19" s="12" customFormat="1" ht="16.5" customHeight="1">
      <c r="A1095" s="3"/>
      <c r="B1095" s="13" t="s">
        <v>213</v>
      </c>
      <c r="C1095" s="7">
        <v>16.7093</v>
      </c>
      <c r="D1095" s="7"/>
      <c r="E1095" s="7">
        <v>17.6016</v>
      </c>
      <c r="F1095" s="7">
        <v>18.4825</v>
      </c>
      <c r="G1095" s="7">
        <v>22.6048</v>
      </c>
      <c r="H1095" s="14">
        <v>17.3766</v>
      </c>
      <c r="I1095" s="7">
        <v>16.577</v>
      </c>
      <c r="J1095" s="7">
        <v>17.4829</v>
      </c>
      <c r="K1095" s="7"/>
      <c r="L1095" s="7"/>
      <c r="M1095" s="7"/>
      <c r="N1095" s="7">
        <v>16.114</v>
      </c>
      <c r="O1095" s="8">
        <v>12.383</v>
      </c>
      <c r="P1095" s="7">
        <v>20.0675</v>
      </c>
      <c r="Q1095" s="7">
        <v>20.0675</v>
      </c>
      <c r="R1095" s="7">
        <v>20.0675</v>
      </c>
      <c r="S1095" s="8">
        <v>20.0675</v>
      </c>
    </row>
    <row r="1096" spans="1:19" s="12" customFormat="1" ht="16.5" customHeight="1">
      <c r="A1096" s="3"/>
      <c r="B1096" s="13" t="s">
        <v>214</v>
      </c>
      <c r="C1096" s="7">
        <v>16.7799</v>
      </c>
      <c r="D1096" s="7"/>
      <c r="E1096" s="7">
        <v>17.6647</v>
      </c>
      <c r="F1096" s="7">
        <v>18.538</v>
      </c>
      <c r="G1096" s="7">
        <v>22.6225</v>
      </c>
      <c r="H1096" s="14">
        <v>17.4414</v>
      </c>
      <c r="I1096" s="7">
        <v>16.6694</v>
      </c>
      <c r="J1096" s="7">
        <v>17.576</v>
      </c>
      <c r="K1096" s="7"/>
      <c r="L1096" s="7"/>
      <c r="M1096" s="7"/>
      <c r="N1096" s="7">
        <v>16.1848</v>
      </c>
      <c r="O1096" s="8">
        <v>12.371</v>
      </c>
      <c r="P1096" s="7">
        <v>19.1308</v>
      </c>
      <c r="Q1096" s="7">
        <v>19.1308</v>
      </c>
      <c r="R1096" s="7">
        <v>19.1308</v>
      </c>
      <c r="S1096" s="8">
        <v>19.1308</v>
      </c>
    </row>
    <row r="1097" spans="1:19" s="12" customFormat="1" ht="16.5" customHeight="1">
      <c r="A1097" s="3"/>
      <c r="B1097" s="13" t="s">
        <v>215</v>
      </c>
      <c r="C1097" s="7">
        <v>16.835</v>
      </c>
      <c r="D1097" s="7"/>
      <c r="E1097" s="7">
        <v>17.7133</v>
      </c>
      <c r="F1097" s="7">
        <v>18.5803</v>
      </c>
      <c r="G1097" s="7">
        <v>22.6363</v>
      </c>
      <c r="H1097" s="14">
        <v>17.492</v>
      </c>
      <c r="I1097" s="7">
        <v>16.6415</v>
      </c>
      <c r="J1097" s="7">
        <v>17.6288</v>
      </c>
      <c r="K1097" s="7"/>
      <c r="L1097" s="7"/>
      <c r="M1097" s="7"/>
      <c r="N1097" s="7">
        <v>16.2545</v>
      </c>
      <c r="O1097" s="8">
        <v>12.4134</v>
      </c>
      <c r="P1097" s="7">
        <v>18.9018</v>
      </c>
      <c r="Q1097" s="7">
        <v>18.9018</v>
      </c>
      <c r="R1097" s="7">
        <v>18.9018</v>
      </c>
      <c r="S1097" s="8">
        <v>18.9018</v>
      </c>
    </row>
    <row r="1098" spans="1:19" s="12" customFormat="1" ht="16.5" customHeight="1">
      <c r="A1098" s="3"/>
      <c r="B1098" s="13" t="s">
        <v>220</v>
      </c>
      <c r="C1098" s="7">
        <v>16.9462</v>
      </c>
      <c r="D1098" s="7"/>
      <c r="E1098" s="7">
        <v>17.813</v>
      </c>
      <c r="F1098" s="7">
        <v>18.6681</v>
      </c>
      <c r="G1098" s="7">
        <v>22.6641</v>
      </c>
      <c r="H1098" s="14">
        <v>17.5934</v>
      </c>
      <c r="I1098" s="7">
        <v>16.77</v>
      </c>
      <c r="J1098" s="7">
        <v>17.7263</v>
      </c>
      <c r="K1098" s="7"/>
      <c r="L1098" s="7"/>
      <c r="M1098" s="7"/>
      <c r="N1098" s="7">
        <v>16.3863</v>
      </c>
      <c r="O1098" s="8">
        <v>12.3747</v>
      </c>
      <c r="P1098" s="7">
        <v>18.074</v>
      </c>
      <c r="Q1098" s="7">
        <v>18.074</v>
      </c>
      <c r="R1098" s="7">
        <v>18.074</v>
      </c>
      <c r="S1098" s="8">
        <v>18.074</v>
      </c>
    </row>
    <row r="1099" spans="1:19" s="12" customFormat="1" ht="16.5" customHeight="1">
      <c r="A1099" s="3"/>
      <c r="B1099" s="4" t="s">
        <v>13</v>
      </c>
      <c r="C1099" s="11">
        <f>(C1094*7+C1095*7+C1096*7+C1097*7+C1098*3)/31</f>
        <v>16.745119354838714</v>
      </c>
      <c r="D1099" s="11"/>
      <c r="E1099" s="11">
        <f aca="true" t="shared" si="161" ref="E1099:R1099">(E1094*7+E1095*7+E1096*7+E1097*7+E1098*3)/31</f>
        <v>17.633370967741936</v>
      </c>
      <c r="F1099" s="11">
        <f t="shared" si="161"/>
        <v>18.510306451612905</v>
      </c>
      <c r="G1099" s="11">
        <f t="shared" si="161"/>
        <v>22.613790322580645</v>
      </c>
      <c r="H1099" s="11">
        <f t="shared" si="161"/>
        <v>17.409593548387097</v>
      </c>
      <c r="I1099" s="11">
        <f t="shared" si="161"/>
        <v>16.63383870967742</v>
      </c>
      <c r="J1099" s="11">
        <f t="shared" si="161"/>
        <v>17.56001612903226</v>
      </c>
      <c r="K1099" s="11"/>
      <c r="L1099" s="11"/>
      <c r="M1099" s="11"/>
      <c r="N1099" s="11">
        <f t="shared" si="161"/>
        <v>16.189487096774194</v>
      </c>
      <c r="O1099" s="38">
        <f t="shared" si="161"/>
        <v>12.400938709677419</v>
      </c>
      <c r="P1099" s="11">
        <f>(P1094*7+P1095*7+P1096*7+P1097*7+P1098*3)/31</f>
        <v>19.432970967741934</v>
      </c>
      <c r="Q1099" s="11">
        <f t="shared" si="161"/>
        <v>19.432970967741934</v>
      </c>
      <c r="R1099" s="48">
        <f t="shared" si="161"/>
        <v>19.432970967741934</v>
      </c>
      <c r="S1099" s="38">
        <f>(S1094*7+S1095*7+S1096*7+S1097*7+S1098*3)/31</f>
        <v>19.432970967741934</v>
      </c>
    </row>
    <row r="1100" spans="1:19" s="12" customFormat="1" ht="16.5" customHeight="1">
      <c r="A1100" s="3"/>
      <c r="B1100" s="13" t="s">
        <v>221</v>
      </c>
      <c r="C1100" s="7">
        <v>16.9652</v>
      </c>
      <c r="D1100" s="7"/>
      <c r="E1100" s="7">
        <v>17.8193</v>
      </c>
      <c r="F1100" s="7">
        <v>18.6604</v>
      </c>
      <c r="G1100" s="7">
        <v>22.5788</v>
      </c>
      <c r="H1100" s="14">
        <v>17.5999</v>
      </c>
      <c r="I1100" s="7">
        <v>16.6677</v>
      </c>
      <c r="J1100" s="7">
        <v>17.4965</v>
      </c>
      <c r="K1100" s="7"/>
      <c r="L1100" s="7"/>
      <c r="M1100" s="7"/>
      <c r="N1100" s="7">
        <v>16.1436</v>
      </c>
      <c r="O1100" s="8">
        <v>12.3245</v>
      </c>
      <c r="P1100" s="7">
        <v>17.667</v>
      </c>
      <c r="Q1100" s="7">
        <v>17.667</v>
      </c>
      <c r="R1100" s="7">
        <v>17.667</v>
      </c>
      <c r="S1100" s="8">
        <v>17.667</v>
      </c>
    </row>
    <row r="1101" spans="1:19" s="12" customFormat="1" ht="16.5" customHeight="1">
      <c r="A1101" s="3"/>
      <c r="B1101" s="13" t="s">
        <v>216</v>
      </c>
      <c r="C1101" s="7">
        <v>16.6612</v>
      </c>
      <c r="D1101" s="7"/>
      <c r="E1101" s="7">
        <v>17.544</v>
      </c>
      <c r="F1101" s="7">
        <v>18.4162</v>
      </c>
      <c r="G1101" s="7">
        <v>22.5028</v>
      </c>
      <c r="H1101" s="14">
        <v>17.323</v>
      </c>
      <c r="I1101" s="7">
        <v>16.5114</v>
      </c>
      <c r="J1101" s="7">
        <v>17.1758</v>
      </c>
      <c r="K1101" s="7"/>
      <c r="L1101" s="7"/>
      <c r="M1101" s="7"/>
      <c r="N1101" s="7">
        <v>15.7366</v>
      </c>
      <c r="O1101" s="8">
        <v>12.0411</v>
      </c>
      <c r="P1101" s="7">
        <v>17.6125</v>
      </c>
      <c r="Q1101" s="7">
        <v>17.6125</v>
      </c>
      <c r="R1101" s="7">
        <v>17.6125</v>
      </c>
      <c r="S1101" s="8">
        <v>17.6125</v>
      </c>
    </row>
    <row r="1102" spans="1:19" s="12" customFormat="1" ht="16.5" customHeight="1">
      <c r="A1102" s="3"/>
      <c r="B1102" s="13" t="s">
        <v>217</v>
      </c>
      <c r="C1102" s="7">
        <v>15.759</v>
      </c>
      <c r="D1102" s="7"/>
      <c r="E1102" s="7">
        <v>16.7223</v>
      </c>
      <c r="F1102" s="7">
        <v>17.6843</v>
      </c>
      <c r="G1102" s="7">
        <v>22.2773</v>
      </c>
      <c r="H1102" s="14">
        <v>16.5025</v>
      </c>
      <c r="I1102" s="7">
        <v>15.6003</v>
      </c>
      <c r="J1102" s="7">
        <v>16.3336</v>
      </c>
      <c r="K1102" s="7"/>
      <c r="L1102" s="7"/>
      <c r="M1102" s="7"/>
      <c r="N1102" s="7">
        <v>14.7821</v>
      </c>
      <c r="O1102" s="8">
        <v>11.5664</v>
      </c>
      <c r="P1102" s="7">
        <v>16.4471</v>
      </c>
      <c r="Q1102" s="7">
        <v>16.4471</v>
      </c>
      <c r="R1102" s="7">
        <v>16.4471</v>
      </c>
      <c r="S1102" s="8">
        <v>16.4471</v>
      </c>
    </row>
    <row r="1103" spans="1:19" s="12" customFormat="1" ht="16.5" customHeight="1">
      <c r="A1103" s="3"/>
      <c r="B1103" s="13" t="s">
        <v>218</v>
      </c>
      <c r="C1103" s="7">
        <v>15.8757</v>
      </c>
      <c r="D1103" s="7"/>
      <c r="E1103" s="7">
        <v>16.8284</v>
      </c>
      <c r="F1103" s="7">
        <v>17.7787</v>
      </c>
      <c r="G1103" s="7">
        <v>22.3064</v>
      </c>
      <c r="H1103" s="14">
        <v>16.6087</v>
      </c>
      <c r="I1103" s="7">
        <v>15.949</v>
      </c>
      <c r="J1103" s="7">
        <v>16.6038</v>
      </c>
      <c r="K1103" s="7"/>
      <c r="L1103" s="7"/>
      <c r="M1103" s="7"/>
      <c r="N1103" s="7">
        <v>15.0177</v>
      </c>
      <c r="O1103" s="8">
        <v>11.7141</v>
      </c>
      <c r="P1103" s="7">
        <v>16.1096</v>
      </c>
      <c r="Q1103" s="7">
        <v>16.1096</v>
      </c>
      <c r="R1103" s="7">
        <v>16.1096</v>
      </c>
      <c r="S1103" s="8">
        <v>16.1096</v>
      </c>
    </row>
    <row r="1104" spans="1:19" s="12" customFormat="1" ht="16.5" customHeight="1">
      <c r="A1104" s="3"/>
      <c r="B1104" s="13" t="s">
        <v>219</v>
      </c>
      <c r="C1104" s="7">
        <v>16.1416</v>
      </c>
      <c r="D1104" s="7"/>
      <c r="E1104" s="7">
        <v>17.0699</v>
      </c>
      <c r="F1104" s="7">
        <v>17.9934</v>
      </c>
      <c r="G1104" s="7">
        <v>22.3729</v>
      </c>
      <c r="H1104" s="14">
        <v>16.8506</v>
      </c>
      <c r="I1104" s="7">
        <v>16.6385</v>
      </c>
      <c r="J1104" s="7">
        <v>16.9817</v>
      </c>
      <c r="K1104" s="7"/>
      <c r="L1104" s="7"/>
      <c r="M1104" s="7"/>
      <c r="N1104" s="7">
        <v>15.3916</v>
      </c>
      <c r="O1104" s="8">
        <v>11.8839</v>
      </c>
      <c r="P1104" s="7">
        <v>16.0213</v>
      </c>
      <c r="Q1104" s="7">
        <v>16.0213</v>
      </c>
      <c r="R1104" s="7">
        <v>16.0213</v>
      </c>
      <c r="S1104" s="8">
        <v>16.0213</v>
      </c>
    </row>
    <row r="1105" spans="1:19" s="12" customFormat="1" ht="16.5" customHeight="1">
      <c r="A1105" s="3"/>
      <c r="B1105" s="4" t="s">
        <v>13</v>
      </c>
      <c r="C1105" s="11">
        <f>(C1100*4+C1101*7+C1102*7+C1103*7+C1104*3)/28</f>
        <v>16.227032142857144</v>
      </c>
      <c r="D1105" s="11"/>
      <c r="E1105" s="11">
        <f aca="true" t="shared" si="162" ref="E1105:S1105">(E1100*4+E1101*7+E1102*7+E1103*7+E1104*3)/28</f>
        <v>17.148207142857142</v>
      </c>
      <c r="F1105" s="11">
        <f t="shared" si="162"/>
        <v>18.063435714285713</v>
      </c>
      <c r="G1105" s="11">
        <f t="shared" si="162"/>
        <v>22.394264285714286</v>
      </c>
      <c r="H1105" s="11">
        <f t="shared" si="162"/>
        <v>16.928242857142855</v>
      </c>
      <c r="I1105" s="11">
        <f t="shared" si="162"/>
        <v>16.178971428571426</v>
      </c>
      <c r="J1105" s="11">
        <f t="shared" si="162"/>
        <v>16.84726785714286</v>
      </c>
      <c r="K1105" s="11"/>
      <c r="L1105" s="11"/>
      <c r="M1105" s="11"/>
      <c r="N1105" s="11">
        <f t="shared" si="162"/>
        <v>15.33942857142857</v>
      </c>
      <c r="O1105" s="38">
        <f t="shared" si="162"/>
        <v>11.864317857142856</v>
      </c>
      <c r="P1105" s="11">
        <f t="shared" si="162"/>
        <v>16.782725</v>
      </c>
      <c r="Q1105" s="11">
        <f t="shared" si="162"/>
        <v>16.782725</v>
      </c>
      <c r="R1105" s="48">
        <f t="shared" si="162"/>
        <v>16.782725</v>
      </c>
      <c r="S1105" s="38">
        <f t="shared" si="162"/>
        <v>16.782725</v>
      </c>
    </row>
    <row r="1106" spans="1:19" s="12" customFormat="1" ht="16.5" customHeight="1">
      <c r="A1106" s="3"/>
      <c r="B1106" s="13" t="s">
        <v>54</v>
      </c>
      <c r="C1106" s="7">
        <v>16.1161</v>
      </c>
      <c r="D1106" s="7"/>
      <c r="E1106" s="7">
        <v>17.046</v>
      </c>
      <c r="F1106" s="7">
        <v>17.9712</v>
      </c>
      <c r="G1106" s="7">
        <v>22.359</v>
      </c>
      <c r="H1106" s="14">
        <v>16.8265</v>
      </c>
      <c r="I1106" s="7">
        <v>16.3523</v>
      </c>
      <c r="J1106" s="7">
        <v>16.736</v>
      </c>
      <c r="K1106" s="7"/>
      <c r="L1106" s="7"/>
      <c r="M1106" s="7"/>
      <c r="N1106" s="7">
        <v>15.1303</v>
      </c>
      <c r="O1106" s="8">
        <v>11.6759</v>
      </c>
      <c r="P1106" s="7">
        <v>15.9892</v>
      </c>
      <c r="Q1106" s="7">
        <v>15.9892</v>
      </c>
      <c r="R1106" s="7">
        <v>15.9892</v>
      </c>
      <c r="S1106" s="8">
        <v>15.9892</v>
      </c>
    </row>
    <row r="1107" spans="1:19" s="12" customFormat="1" ht="16.5" customHeight="1">
      <c r="A1107" s="3"/>
      <c r="B1107" s="13" t="s">
        <v>222</v>
      </c>
      <c r="C1107" s="7">
        <v>15.8667</v>
      </c>
      <c r="D1107" s="7"/>
      <c r="E1107" s="7">
        <v>16.8188</v>
      </c>
      <c r="F1107" s="7">
        <v>17.7688</v>
      </c>
      <c r="G1107" s="7">
        <v>22.2967</v>
      </c>
      <c r="H1107" s="14">
        <v>16.5993</v>
      </c>
      <c r="I1107" s="7">
        <v>15.8828</v>
      </c>
      <c r="J1107" s="7">
        <v>16.5487</v>
      </c>
      <c r="K1107" s="7"/>
      <c r="L1107" s="7"/>
      <c r="M1107" s="7"/>
      <c r="N1107" s="7">
        <v>14.9034</v>
      </c>
      <c r="O1107" s="8">
        <v>11.5978</v>
      </c>
      <c r="P1107" s="7">
        <v>16.1579</v>
      </c>
      <c r="Q1107" s="7">
        <v>16.1579</v>
      </c>
      <c r="R1107" s="7">
        <v>16.1579</v>
      </c>
      <c r="S1107" s="8">
        <v>16.1579</v>
      </c>
    </row>
    <row r="1108" spans="1:19" s="12" customFormat="1" ht="16.5" customHeight="1">
      <c r="A1108" s="3"/>
      <c r="B1108" s="13" t="s">
        <v>223</v>
      </c>
      <c r="C1108" s="7">
        <v>15.7423</v>
      </c>
      <c r="D1108" s="7"/>
      <c r="E1108" s="7">
        <v>16.7049</v>
      </c>
      <c r="F1108" s="7">
        <v>17.6669</v>
      </c>
      <c r="G1108" s="7">
        <v>22.2656</v>
      </c>
      <c r="H1108" s="14">
        <v>16.4858</v>
      </c>
      <c r="I1108" s="7">
        <v>15.4655</v>
      </c>
      <c r="J1108" s="7">
        <v>16.561</v>
      </c>
      <c r="K1108" s="7"/>
      <c r="L1108" s="7"/>
      <c r="M1108" s="7"/>
      <c r="N1108" s="7">
        <v>14.9595</v>
      </c>
      <c r="O1108" s="8">
        <v>11.6346</v>
      </c>
      <c r="P1108" s="7">
        <v>15.7021</v>
      </c>
      <c r="Q1108" s="7">
        <v>15.7021</v>
      </c>
      <c r="R1108" s="7">
        <v>15.7021</v>
      </c>
      <c r="S1108" s="8">
        <v>15.7021</v>
      </c>
    </row>
    <row r="1109" spans="1:19" s="12" customFormat="1" ht="16.5" customHeight="1">
      <c r="A1109" s="3"/>
      <c r="B1109" s="13" t="s">
        <v>224</v>
      </c>
      <c r="C1109" s="7">
        <v>16.288</v>
      </c>
      <c r="D1109" s="7"/>
      <c r="E1109" s="7">
        <v>17.2013</v>
      </c>
      <c r="F1109" s="7">
        <v>18.1088</v>
      </c>
      <c r="G1109" s="7">
        <v>22.402</v>
      </c>
      <c r="H1109" s="14">
        <v>16.9821</v>
      </c>
      <c r="I1109" s="7">
        <v>15.8604</v>
      </c>
      <c r="J1109" s="7">
        <v>16.8266</v>
      </c>
      <c r="K1109" s="7"/>
      <c r="L1109" s="7"/>
      <c r="M1109" s="7"/>
      <c r="N1109" s="7">
        <v>15.4337</v>
      </c>
      <c r="O1109" s="8">
        <v>11.8433</v>
      </c>
      <c r="P1109" s="7">
        <v>15.6193</v>
      </c>
      <c r="Q1109" s="7">
        <v>15.6193</v>
      </c>
      <c r="R1109" s="7">
        <v>15.6193</v>
      </c>
      <c r="S1109" s="8">
        <v>15.6193</v>
      </c>
    </row>
    <row r="1110" spans="1:19" s="12" customFormat="1" ht="16.5" customHeight="1">
      <c r="A1110" s="3"/>
      <c r="B1110" s="13" t="s">
        <v>225</v>
      </c>
      <c r="C1110" s="7">
        <v>16.769</v>
      </c>
      <c r="D1110" s="7"/>
      <c r="E1110" s="7">
        <v>17.639</v>
      </c>
      <c r="F1110" s="7">
        <v>18.4984</v>
      </c>
      <c r="G1110" s="7">
        <v>22.5222</v>
      </c>
      <c r="H1110" s="14">
        <v>17.4197</v>
      </c>
      <c r="I1110" s="7">
        <v>16.4217</v>
      </c>
      <c r="J1110" s="7">
        <v>17.2081</v>
      </c>
      <c r="K1110" s="7"/>
      <c r="L1110" s="7"/>
      <c r="M1110" s="7"/>
      <c r="N1110" s="7">
        <v>15.9595</v>
      </c>
      <c r="O1110" s="8">
        <v>12.0526</v>
      </c>
      <c r="P1110" s="7">
        <v>15.6293</v>
      </c>
      <c r="Q1110" s="7">
        <v>15.6293</v>
      </c>
      <c r="R1110" s="7">
        <v>15.6293</v>
      </c>
      <c r="S1110" s="8">
        <v>15.6293</v>
      </c>
    </row>
    <row r="1111" spans="1:19" s="12" customFormat="1" ht="16.5" customHeight="1">
      <c r="A1111" s="3"/>
      <c r="B1111" s="4" t="s">
        <v>13</v>
      </c>
      <c r="C1111" s="11">
        <f>(C1106*4+C1107*7+C1108*7+C1109*7+C1110*6)/31</f>
        <v>16.14056129032258</v>
      </c>
      <c r="D1111" s="11"/>
      <c r="E1111" s="11">
        <f aca="true" t="shared" si="163" ref="E1111:S1111">(E1106*4+E1107*7+E1108*7+E1109*7+E1110*6)/31</f>
        <v>17.06751612903226</v>
      </c>
      <c r="F1111" s="11">
        <f t="shared" si="163"/>
        <v>17.989893548387094</v>
      </c>
      <c r="G1111" s="11">
        <f>(G1106*4+G1107*7+G1108*7+G1109*7+G1110*6)/31</f>
        <v>22.365138709677424</v>
      </c>
      <c r="H1111" s="11">
        <f t="shared" si="163"/>
        <v>16.848212903225804</v>
      </c>
      <c r="I1111" s="11">
        <f t="shared" si="163"/>
        <v>15.948396774193549</v>
      </c>
      <c r="J1111" s="11">
        <f t="shared" si="163"/>
        <v>16.766022580645163</v>
      </c>
      <c r="K1111" s="11"/>
      <c r="L1111" s="11"/>
      <c r="M1111" s="11"/>
      <c r="N1111" s="11">
        <f>(N1106*4+N1107*7+N1108*7+N1109*7+N1110*6)/31</f>
        <v>15.269496774193549</v>
      </c>
      <c r="O1111" s="38">
        <f t="shared" si="163"/>
        <v>11.759648387096775</v>
      </c>
      <c r="P1111" s="11">
        <f t="shared" si="163"/>
        <v>15.80928064516129</v>
      </c>
      <c r="Q1111" s="11">
        <f t="shared" si="163"/>
        <v>15.80928064516129</v>
      </c>
      <c r="R1111" s="48">
        <f t="shared" si="163"/>
        <v>15.80928064516129</v>
      </c>
      <c r="S1111" s="38">
        <f t="shared" si="163"/>
        <v>15.80928064516129</v>
      </c>
    </row>
    <row r="1112" spans="1:19" s="12" customFormat="1" ht="16.5" customHeight="1">
      <c r="A1112" s="3"/>
      <c r="B1112" s="13" t="s">
        <v>226</v>
      </c>
      <c r="C1112" s="7">
        <v>16.7575</v>
      </c>
      <c r="D1112" s="7"/>
      <c r="E1112" s="7">
        <v>17.5522</v>
      </c>
      <c r="F1112" s="7">
        <v>18.3277</v>
      </c>
      <c r="G1112" s="7">
        <v>21.8819</v>
      </c>
      <c r="H1112" s="14">
        <v>17.3327</v>
      </c>
      <c r="I1112" s="7">
        <v>16.4806</v>
      </c>
      <c r="J1112" s="7">
        <v>17.2815</v>
      </c>
      <c r="K1112" s="7"/>
      <c r="L1112" s="7"/>
      <c r="M1112" s="7"/>
      <c r="N1112" s="7">
        <v>16.0377</v>
      </c>
      <c r="O1112" s="8">
        <v>11.9835</v>
      </c>
      <c r="P1112" s="7">
        <v>15.6314</v>
      </c>
      <c r="Q1112" s="7">
        <v>15.6314</v>
      </c>
      <c r="R1112" s="7">
        <v>15.6314</v>
      </c>
      <c r="S1112" s="8">
        <v>15.6314</v>
      </c>
    </row>
    <row r="1113" spans="1:19" s="12" customFormat="1" ht="16.5" customHeight="1">
      <c r="A1113" s="3"/>
      <c r="B1113" s="13" t="s">
        <v>227</v>
      </c>
      <c r="C1113" s="7">
        <v>16.5851</v>
      </c>
      <c r="D1113" s="7"/>
      <c r="E1113" s="7">
        <v>17.3952</v>
      </c>
      <c r="F1113" s="7">
        <v>18.1879</v>
      </c>
      <c r="G1113" s="7">
        <v>21.8388</v>
      </c>
      <c r="H1113" s="14">
        <v>17.1759</v>
      </c>
      <c r="I1113" s="7">
        <v>16.5</v>
      </c>
      <c r="J1113" s="7">
        <v>17.131</v>
      </c>
      <c r="K1113" s="7"/>
      <c r="L1113" s="7"/>
      <c r="M1113" s="7"/>
      <c r="N1113" s="7">
        <v>15.9146</v>
      </c>
      <c r="O1113" s="8">
        <v>12.0531</v>
      </c>
      <c r="P1113" s="7">
        <v>16.0814</v>
      </c>
      <c r="Q1113" s="7">
        <v>16.0814</v>
      </c>
      <c r="R1113" s="7">
        <v>16.0814</v>
      </c>
      <c r="S1113" s="8">
        <v>16.0814</v>
      </c>
    </row>
    <row r="1114" spans="1:19" s="12" customFormat="1" ht="16.5" customHeight="1">
      <c r="A1114" s="3"/>
      <c r="B1114" s="13" t="s">
        <v>228</v>
      </c>
      <c r="C1114" s="7">
        <v>16.762</v>
      </c>
      <c r="D1114" s="7"/>
      <c r="E1114" s="7">
        <v>17.556</v>
      </c>
      <c r="F1114" s="7">
        <v>18.331</v>
      </c>
      <c r="G1114" s="7">
        <v>21.883</v>
      </c>
      <c r="H1114" s="14">
        <v>17.3368</v>
      </c>
      <c r="I1114" s="7">
        <v>16.8658</v>
      </c>
      <c r="J1114" s="7">
        <v>17.3612</v>
      </c>
      <c r="K1114" s="7"/>
      <c r="L1114" s="7"/>
      <c r="M1114" s="7"/>
      <c r="N1114" s="7">
        <v>16.163</v>
      </c>
      <c r="O1114" s="8">
        <v>12.3677</v>
      </c>
      <c r="P1114" s="7">
        <v>15.5498</v>
      </c>
      <c r="Q1114" s="7">
        <v>15.5498</v>
      </c>
      <c r="R1114" s="7">
        <v>15.5498</v>
      </c>
      <c r="S1114" s="8">
        <v>15.5498</v>
      </c>
    </row>
    <row r="1115" spans="1:19" s="12" customFormat="1" ht="16.5" customHeight="1">
      <c r="A1115" s="3"/>
      <c r="B1115" s="13" t="s">
        <v>229</v>
      </c>
      <c r="C1115" s="7">
        <v>16.9279</v>
      </c>
      <c r="D1115" s="7"/>
      <c r="E1115" s="7">
        <v>17.6557</v>
      </c>
      <c r="F1115" s="7">
        <v>18.3877</v>
      </c>
      <c r="G1115" s="7">
        <v>21.9245</v>
      </c>
      <c r="H1115" s="14">
        <v>17.3856</v>
      </c>
      <c r="I1115" s="7">
        <v>17.2801</v>
      </c>
      <c r="J1115" s="7">
        <v>17.6223</v>
      </c>
      <c r="K1115" s="7"/>
      <c r="L1115" s="7"/>
      <c r="M1115" s="7"/>
      <c r="N1115" s="7">
        <v>16.586</v>
      </c>
      <c r="O1115" s="8">
        <v>12.5243</v>
      </c>
      <c r="P1115" s="7">
        <v>15.6208</v>
      </c>
      <c r="Q1115" s="7">
        <v>15.6208</v>
      </c>
      <c r="R1115" s="7">
        <v>15.6208</v>
      </c>
      <c r="S1115" s="8">
        <v>15.6208</v>
      </c>
    </row>
    <row r="1116" spans="1:19" s="12" customFormat="1" ht="16.5" customHeight="1">
      <c r="A1116" s="3"/>
      <c r="B1116" s="13" t="s">
        <v>118</v>
      </c>
      <c r="C1116" s="7">
        <v>17.195</v>
      </c>
      <c r="D1116" s="7"/>
      <c r="E1116" s="7">
        <v>17.7705</v>
      </c>
      <c r="F1116" s="7">
        <v>18.41</v>
      </c>
      <c r="G1116" s="7">
        <v>21.9912</v>
      </c>
      <c r="H1116" s="14">
        <v>17.3699</v>
      </c>
      <c r="I1116" s="7">
        <v>17.7365</v>
      </c>
      <c r="J1116" s="7">
        <v>17.7808</v>
      </c>
      <c r="K1116" s="7"/>
      <c r="L1116" s="7"/>
      <c r="M1116" s="7"/>
      <c r="N1116" s="7">
        <v>17.0698</v>
      </c>
      <c r="O1116" s="8">
        <v>12.4715</v>
      </c>
      <c r="P1116" s="7">
        <v>16.3237</v>
      </c>
      <c r="Q1116" s="7">
        <v>16.3237</v>
      </c>
      <c r="R1116" s="7">
        <v>16.3237</v>
      </c>
      <c r="S1116" s="8">
        <v>16.3237</v>
      </c>
    </row>
    <row r="1117" spans="1:19" s="12" customFormat="1" ht="16.5" customHeight="1">
      <c r="A1117" s="3"/>
      <c r="B1117" s="13" t="s">
        <v>120</v>
      </c>
      <c r="C1117" s="7">
        <v>17.3725</v>
      </c>
      <c r="D1117" s="7"/>
      <c r="E1117" s="7">
        <v>17.9321</v>
      </c>
      <c r="F1117" s="7">
        <v>18.5538</v>
      </c>
      <c r="G1117" s="7">
        <v>22.0356</v>
      </c>
      <c r="H1117" s="14">
        <v>17.5296</v>
      </c>
      <c r="I1117" s="7">
        <v>17.8901</v>
      </c>
      <c r="J1117" s="7">
        <v>17.9494</v>
      </c>
      <c r="K1117" s="7"/>
      <c r="L1117" s="7"/>
      <c r="M1117" s="7"/>
      <c r="N1117" s="7">
        <v>17.2481</v>
      </c>
      <c r="O1117" s="8">
        <v>12.7031</v>
      </c>
      <c r="P1117" s="7">
        <v>16.4294</v>
      </c>
      <c r="Q1117" s="7">
        <v>16.4294</v>
      </c>
      <c r="R1117" s="7">
        <v>16.4294</v>
      </c>
      <c r="S1117" s="8">
        <v>16.4294</v>
      </c>
    </row>
    <row r="1118" spans="1:19" s="12" customFormat="1" ht="16.5" customHeight="1">
      <c r="A1118" s="3"/>
      <c r="B1118" s="4" t="s">
        <v>13</v>
      </c>
      <c r="C1118" s="11">
        <f>(C1112*1+C1113*7+C1114*7+C1115*7+C1116*7+C1117*1)/30</f>
        <v>16.880666666666666</v>
      </c>
      <c r="D1118" s="11"/>
      <c r="E1118" s="11">
        <f aca="true" t="shared" si="164" ref="E1118:R1118">(E1112*1+E1113*7+E1114*7+E1115*7+E1116*7+E1117*1)/30</f>
        <v>17.60420333333333</v>
      </c>
      <c r="F1118" s="11">
        <f t="shared" si="164"/>
        <v>18.33659</v>
      </c>
      <c r="G1118" s="11">
        <f t="shared" si="164"/>
        <v>21.912666666666667</v>
      </c>
      <c r="H1118" s="11">
        <f t="shared" si="164"/>
        <v>17.324656666666666</v>
      </c>
      <c r="I1118" s="11">
        <f t="shared" si="164"/>
        <v>17.10158333333333</v>
      </c>
      <c r="J1118" s="11">
        <f t="shared" si="164"/>
        <v>17.483266666666665</v>
      </c>
      <c r="K1118" s="11"/>
      <c r="L1118" s="11"/>
      <c r="M1118" s="11"/>
      <c r="N1118" s="11">
        <f t="shared" si="164"/>
        <v>16.44732</v>
      </c>
      <c r="O1118" s="38">
        <f t="shared" si="164"/>
        <v>12.353426666666667</v>
      </c>
      <c r="P1118" s="11">
        <f t="shared" si="164"/>
        <v>15.90302333333333</v>
      </c>
      <c r="Q1118" s="11">
        <f t="shared" si="164"/>
        <v>15.90302333333333</v>
      </c>
      <c r="R1118" s="48">
        <f t="shared" si="164"/>
        <v>15.90302333333333</v>
      </c>
      <c r="S1118" s="38">
        <f>(S1112*1+S1113*7+S1114*7+S1115*7+S1116*7+S1117*1)/30</f>
        <v>15.90302333333333</v>
      </c>
    </row>
    <row r="1119" spans="1:19" s="12" customFormat="1" ht="16.5" customHeight="1">
      <c r="A1119" s="3"/>
      <c r="B1119" s="13" t="s">
        <v>230</v>
      </c>
      <c r="C1119" s="7">
        <v>17.2368</v>
      </c>
      <c r="D1119" s="7"/>
      <c r="E1119" s="7">
        <v>17.8086</v>
      </c>
      <c r="F1119" s="7">
        <v>18.4439</v>
      </c>
      <c r="G1119" s="7">
        <v>22.0017</v>
      </c>
      <c r="H1119" s="14">
        <v>17.4061</v>
      </c>
      <c r="I1119" s="7">
        <v>17.7041</v>
      </c>
      <c r="J1119" s="7">
        <v>17.8649</v>
      </c>
      <c r="K1119" s="7"/>
      <c r="L1119" s="7"/>
      <c r="M1119" s="7"/>
      <c r="N1119" s="7">
        <v>17.1576</v>
      </c>
      <c r="O1119" s="8">
        <v>12.7729</v>
      </c>
      <c r="P1119" s="68">
        <v>16.8982</v>
      </c>
      <c r="Q1119" s="7">
        <v>16.8982</v>
      </c>
      <c r="R1119" s="7">
        <v>16.8982</v>
      </c>
      <c r="S1119" s="8">
        <v>16.8982</v>
      </c>
    </row>
    <row r="1120" spans="1:19" s="12" customFormat="1" ht="16.5" customHeight="1">
      <c r="A1120" s="3"/>
      <c r="B1120" s="13" t="s">
        <v>122</v>
      </c>
      <c r="C1120" s="7">
        <v>17.7755</v>
      </c>
      <c r="D1120" s="7"/>
      <c r="E1120" s="7">
        <v>18.2988</v>
      </c>
      <c r="F1120" s="7">
        <v>18.8803</v>
      </c>
      <c r="G1120" s="7">
        <v>22.1364</v>
      </c>
      <c r="H1120" s="14">
        <v>17.8925</v>
      </c>
      <c r="I1120" s="7">
        <v>18.1942</v>
      </c>
      <c r="J1120" s="7">
        <v>18.4549</v>
      </c>
      <c r="K1120" s="7"/>
      <c r="L1120" s="7"/>
      <c r="M1120" s="7"/>
      <c r="N1120" s="7">
        <v>17.7944</v>
      </c>
      <c r="O1120" s="8">
        <v>13.2635</v>
      </c>
      <c r="P1120" s="68">
        <v>17.4547</v>
      </c>
      <c r="Q1120" s="7">
        <v>17.4547</v>
      </c>
      <c r="R1120" s="7">
        <v>17.4547</v>
      </c>
      <c r="S1120" s="8">
        <v>17.4547</v>
      </c>
    </row>
    <row r="1121" spans="1:19" s="12" customFormat="1" ht="16.5" customHeight="1">
      <c r="A1121" s="3"/>
      <c r="B1121" s="13" t="s">
        <v>124</v>
      </c>
      <c r="C1121" s="7">
        <v>18.6364</v>
      </c>
      <c r="D1121" s="7"/>
      <c r="E1121" s="7">
        <v>19.0822</v>
      </c>
      <c r="F1121" s="7">
        <v>19.5776</v>
      </c>
      <c r="G1121" s="7">
        <v>22.3516</v>
      </c>
      <c r="H1121" s="14">
        <v>18.6749</v>
      </c>
      <c r="I1121" s="7">
        <v>18.6765</v>
      </c>
      <c r="J1121" s="7">
        <v>18.9989</v>
      </c>
      <c r="K1121" s="7"/>
      <c r="L1121" s="7"/>
      <c r="M1121" s="7"/>
      <c r="N1121" s="7">
        <v>18.3655</v>
      </c>
      <c r="O1121" s="8">
        <v>13.9417</v>
      </c>
      <c r="P1121" s="68">
        <v>17.9288</v>
      </c>
      <c r="Q1121" s="7">
        <v>17.9288</v>
      </c>
      <c r="R1121" s="7">
        <v>17.9288</v>
      </c>
      <c r="S1121" s="8">
        <v>17.9288</v>
      </c>
    </row>
    <row r="1122" spans="1:19" s="12" customFormat="1" ht="16.5" customHeight="1">
      <c r="A1122" s="3"/>
      <c r="B1122" s="13" t="s">
        <v>231</v>
      </c>
      <c r="C1122" s="7">
        <v>19.0882</v>
      </c>
      <c r="D1122" s="7"/>
      <c r="E1122" s="7">
        <v>19.4933</v>
      </c>
      <c r="F1122" s="7">
        <v>18.8803</v>
      </c>
      <c r="G1122" s="7">
        <v>22.4645</v>
      </c>
      <c r="H1122" s="14">
        <v>19.0842</v>
      </c>
      <c r="I1122" s="7">
        <v>19.037</v>
      </c>
      <c r="J1122" s="7">
        <v>19.341</v>
      </c>
      <c r="K1122" s="7"/>
      <c r="L1122" s="7"/>
      <c r="M1122" s="7"/>
      <c r="N1122" s="7">
        <v>18.6732</v>
      </c>
      <c r="O1122" s="8">
        <v>14.3176</v>
      </c>
      <c r="P1122" s="68">
        <v>19.3219</v>
      </c>
      <c r="Q1122" s="7">
        <v>19.3219</v>
      </c>
      <c r="R1122" s="7">
        <v>19.3219</v>
      </c>
      <c r="S1122" s="8">
        <v>19.3219</v>
      </c>
    </row>
    <row r="1123" spans="1:19" s="12" customFormat="1" ht="16.5" customHeight="1">
      <c r="A1123" s="3"/>
      <c r="B1123" s="13" t="s">
        <v>232</v>
      </c>
      <c r="C1123" s="7">
        <v>18.4183</v>
      </c>
      <c r="D1123" s="7"/>
      <c r="E1123" s="7">
        <v>18.8837</v>
      </c>
      <c r="F1123" s="7">
        <v>19.4009</v>
      </c>
      <c r="G1123" s="7">
        <v>22.2971</v>
      </c>
      <c r="H1123" s="14">
        <v>18.4763</v>
      </c>
      <c r="I1123" s="7">
        <v>18.4353</v>
      </c>
      <c r="J1123" s="7">
        <v>18.8901</v>
      </c>
      <c r="K1123" s="7"/>
      <c r="L1123" s="7"/>
      <c r="M1123" s="7"/>
      <c r="N1123" s="7">
        <v>18.1109</v>
      </c>
      <c r="O1123" s="8">
        <v>13.846</v>
      </c>
      <c r="P1123" s="68">
        <v>19.4509</v>
      </c>
      <c r="Q1123" s="7">
        <v>19.4509</v>
      </c>
      <c r="R1123" s="7">
        <v>19.4509</v>
      </c>
      <c r="S1123" s="8">
        <v>19.4509</v>
      </c>
    </row>
    <row r="1124" spans="1:19" s="12" customFormat="1" ht="16.5" customHeight="1">
      <c r="A1124" s="3"/>
      <c r="B1124" s="4" t="s">
        <v>13</v>
      </c>
      <c r="C1124" s="11">
        <f>(C1119*6+C1120*7+C1121*7+C1122*7+C1123*4)/31</f>
        <v>18.24499032258064</v>
      </c>
      <c r="D1124" s="11"/>
      <c r="E1124" s="11">
        <f aca="true" t="shared" si="165" ref="E1124:S1124">(E1119*6+E1120*7+E1121*7+E1122*7+E1123*4)/31</f>
        <v>18.726016129032256</v>
      </c>
      <c r="F1124" s="11">
        <f t="shared" si="165"/>
        <v>19.02046451612903</v>
      </c>
      <c r="G1124" s="11">
        <f t="shared" si="165"/>
        <v>22.253745161290322</v>
      </c>
      <c r="H1124" s="11">
        <f t="shared" si="165"/>
        <v>18.319451612903226</v>
      </c>
      <c r="I1124" s="11">
        <v>17.8649</v>
      </c>
      <c r="J1124" s="11">
        <f t="shared" si="165"/>
        <v>18.719787096774194</v>
      </c>
      <c r="K1124" s="11"/>
      <c r="L1124" s="11"/>
      <c r="M1124" s="11"/>
      <c r="N1124" s="11">
        <f t="shared" si="165"/>
        <v>18.039383870967743</v>
      </c>
      <c r="O1124" s="38">
        <f t="shared" si="165"/>
        <v>13.634870967741938</v>
      </c>
      <c r="P1124" s="11">
        <f t="shared" si="165"/>
        <v>18.133245161290322</v>
      </c>
      <c r="Q1124" s="11">
        <f t="shared" si="165"/>
        <v>18.133245161290322</v>
      </c>
      <c r="R1124" s="48">
        <f t="shared" si="165"/>
        <v>18.133245161290322</v>
      </c>
      <c r="S1124" s="38">
        <f t="shared" si="165"/>
        <v>18.133245161290322</v>
      </c>
    </row>
    <row r="1125" spans="1:19" s="12" customFormat="1" ht="16.5" customHeight="1">
      <c r="A1125" s="3"/>
      <c r="B1125" s="13" t="s">
        <v>233</v>
      </c>
      <c r="C1125" s="7">
        <v>18.3051</v>
      </c>
      <c r="D1125" s="7"/>
      <c r="E1125" s="7">
        <v>18.7807</v>
      </c>
      <c r="F1125" s="7">
        <v>19.3092</v>
      </c>
      <c r="G1125" s="7">
        <v>22.2688</v>
      </c>
      <c r="H1125" s="14">
        <v>18.3728</v>
      </c>
      <c r="I1125" s="7">
        <v>18.4468</v>
      </c>
      <c r="J1125" s="7">
        <v>18.854</v>
      </c>
      <c r="K1125" s="7"/>
      <c r="L1125" s="7"/>
      <c r="M1125" s="7"/>
      <c r="N1125" s="7">
        <v>18.0719</v>
      </c>
      <c r="O1125" s="7">
        <v>14.1014</v>
      </c>
      <c r="P1125" s="68">
        <v>19.4509</v>
      </c>
      <c r="Q1125" s="7">
        <v>19.4509</v>
      </c>
      <c r="R1125" s="7">
        <v>19.4509</v>
      </c>
      <c r="S1125" s="8">
        <v>19.4509</v>
      </c>
    </row>
    <row r="1126" spans="1:19" s="12" customFormat="1" ht="16.5" customHeight="1">
      <c r="A1126" s="3"/>
      <c r="B1126" s="13" t="s">
        <v>234</v>
      </c>
      <c r="C1126" s="7">
        <v>17.9577</v>
      </c>
      <c r="D1126" s="7"/>
      <c r="E1126" s="7">
        <v>18.4646</v>
      </c>
      <c r="F1126" s="7">
        <v>19.0279</v>
      </c>
      <c r="G1126" s="7">
        <v>22.1819</v>
      </c>
      <c r="H1126" s="14">
        <v>18.0577</v>
      </c>
      <c r="I1126" s="7">
        <v>18.0663</v>
      </c>
      <c r="J1126" s="7">
        <v>18.6365</v>
      </c>
      <c r="K1126" s="7"/>
      <c r="L1126" s="7"/>
      <c r="M1126" s="7"/>
      <c r="N1126" s="7">
        <v>17.7152</v>
      </c>
      <c r="O1126" s="7">
        <v>14.0222</v>
      </c>
      <c r="P1126" s="68">
        <v>19.5243</v>
      </c>
      <c r="Q1126" s="7">
        <v>19.5243</v>
      </c>
      <c r="R1126" s="7">
        <v>19.5243</v>
      </c>
      <c r="S1126" s="8">
        <v>19.5243</v>
      </c>
    </row>
    <row r="1127" spans="1:19" s="12" customFormat="1" ht="16.5" customHeight="1">
      <c r="A1127" s="3"/>
      <c r="B1127" s="13" t="s">
        <v>235</v>
      </c>
      <c r="C1127" s="7">
        <v>17.8294</v>
      </c>
      <c r="D1127" s="7"/>
      <c r="E1127" s="7">
        <v>18.3478</v>
      </c>
      <c r="F1127" s="7">
        <v>18.9239</v>
      </c>
      <c r="G1127" s="7">
        <v>22.1498</v>
      </c>
      <c r="H1127" s="14">
        <v>17.9388</v>
      </c>
      <c r="I1127" s="7">
        <v>18.142</v>
      </c>
      <c r="J1127" s="7">
        <v>18.8078</v>
      </c>
      <c r="K1127" s="7"/>
      <c r="L1127" s="7"/>
      <c r="M1127" s="7"/>
      <c r="N1127" s="7">
        <v>17.8091</v>
      </c>
      <c r="O1127" s="7">
        <v>13.9996</v>
      </c>
      <c r="P1127" s="68">
        <v>19.0112</v>
      </c>
      <c r="Q1127" s="7">
        <v>19.0112</v>
      </c>
      <c r="R1127" s="7">
        <v>19.0112</v>
      </c>
      <c r="S1127" s="8">
        <v>19.0112</v>
      </c>
    </row>
    <row r="1128" spans="1:19" s="12" customFormat="1" ht="16.5" customHeight="1">
      <c r="A1128" s="3"/>
      <c r="B1128" s="13" t="s">
        <v>236</v>
      </c>
      <c r="C1128" s="7">
        <v>17.5034</v>
      </c>
      <c r="D1128" s="7"/>
      <c r="E1128" s="7">
        <v>18.0512</v>
      </c>
      <c r="F1128" s="7">
        <v>18.6599</v>
      </c>
      <c r="G1128" s="7">
        <v>22.0684</v>
      </c>
      <c r="H1128" s="14">
        <v>17.6348</v>
      </c>
      <c r="I1128" s="7">
        <v>18.0281</v>
      </c>
      <c r="J1128" s="7">
        <v>18.638</v>
      </c>
      <c r="K1128" s="7"/>
      <c r="L1128" s="7"/>
      <c r="M1128" s="7"/>
      <c r="N1128" s="7">
        <v>17.6571</v>
      </c>
      <c r="O1128" s="7">
        <v>13.9881</v>
      </c>
      <c r="P1128" s="68">
        <v>18.9437</v>
      </c>
      <c r="Q1128" s="7">
        <v>18.9437</v>
      </c>
      <c r="R1128" s="7">
        <v>18.9437</v>
      </c>
      <c r="S1128" s="8">
        <v>18.9437</v>
      </c>
    </row>
    <row r="1129" spans="1:19" s="12" customFormat="1" ht="16.5" customHeight="1">
      <c r="A1129" s="3"/>
      <c r="B1129" s="13" t="s">
        <v>132</v>
      </c>
      <c r="C1129" s="7">
        <v>17.6764</v>
      </c>
      <c r="D1129" s="7"/>
      <c r="E1129" s="7">
        <v>18.2086</v>
      </c>
      <c r="F1129" s="7">
        <v>18.7999</v>
      </c>
      <c r="G1129" s="7">
        <v>22.1116</v>
      </c>
      <c r="H1129" s="14">
        <v>17.789</v>
      </c>
      <c r="I1129" s="7">
        <v>18.2412</v>
      </c>
      <c r="J1129" s="7">
        <v>18.7756</v>
      </c>
      <c r="K1129" s="7"/>
      <c r="L1129" s="7"/>
      <c r="M1129" s="7"/>
      <c r="N1129" s="7">
        <v>17.833</v>
      </c>
      <c r="O1129" s="7">
        <v>14.4868</v>
      </c>
      <c r="P1129" s="68">
        <v>19.0571</v>
      </c>
      <c r="Q1129" s="7">
        <v>19.0571</v>
      </c>
      <c r="R1129" s="7">
        <v>19.0571</v>
      </c>
      <c r="S1129" s="8">
        <v>19.0571</v>
      </c>
    </row>
    <row r="1130" spans="1:19" s="12" customFormat="1" ht="16.5" customHeight="1">
      <c r="A1130" s="3"/>
      <c r="B1130" s="4" t="s">
        <v>13</v>
      </c>
      <c r="C1130" s="11">
        <f>(C1125*3+C1126*7+C1127*7+C1128*7+C1129*6)/30</f>
        <v>17.80024</v>
      </c>
      <c r="D1130" s="11"/>
      <c r="E1130" s="11">
        <f aca="true" t="shared" si="166" ref="E1130:S1130">(E1125*3+E1126*7+E1127*7+E1128*7+E1129*6)/30</f>
        <v>18.32129666666667</v>
      </c>
      <c r="F1130" s="11">
        <f t="shared" si="166"/>
        <v>18.90029666666667</v>
      </c>
      <c r="G1130" s="11">
        <f t="shared" si="166"/>
        <v>22.142556666666664</v>
      </c>
      <c r="H1130" s="11">
        <f t="shared" si="166"/>
        <v>17.90905</v>
      </c>
      <c r="I1130" s="11">
        <f t="shared" si="166"/>
        <v>18.148079999999997</v>
      </c>
      <c r="J1130" s="11">
        <f t="shared" si="166"/>
        <v>18.72639</v>
      </c>
      <c r="K1130" s="11"/>
      <c r="L1130" s="11"/>
      <c r="M1130" s="11"/>
      <c r="N1130" s="11">
        <f t="shared" si="166"/>
        <v>17.782783333333334</v>
      </c>
      <c r="O1130" s="38">
        <f t="shared" si="166"/>
        <v>14.10981</v>
      </c>
      <c r="P1130" s="11">
        <f t="shared" si="166"/>
        <v>19.16832333333333</v>
      </c>
      <c r="Q1130" s="11">
        <f t="shared" si="166"/>
        <v>19.16832333333333</v>
      </c>
      <c r="R1130" s="48">
        <f t="shared" si="166"/>
        <v>19.16832333333333</v>
      </c>
      <c r="S1130" s="38">
        <f t="shared" si="166"/>
        <v>19.16832333333333</v>
      </c>
    </row>
    <row r="1131" spans="1:19" s="12" customFormat="1" ht="16.5" customHeight="1">
      <c r="A1131" s="3"/>
      <c r="B1131" s="13" t="s">
        <v>238</v>
      </c>
      <c r="C1131" s="7">
        <v>18.1819</v>
      </c>
      <c r="D1131" s="7"/>
      <c r="E1131" s="7">
        <v>18.6515</v>
      </c>
      <c r="F1131" s="7">
        <v>19.1733</v>
      </c>
      <c r="G1131" s="7">
        <v>22.0955</v>
      </c>
      <c r="H1131" s="14">
        <v>18.2297</v>
      </c>
      <c r="I1131" s="7">
        <v>18.7594</v>
      </c>
      <c r="J1131" s="7">
        <v>19.2032</v>
      </c>
      <c r="K1131" s="7"/>
      <c r="L1131" s="7">
        <v>20.2092</v>
      </c>
      <c r="M1131" s="7"/>
      <c r="N1131" s="7">
        <v>18.2889</v>
      </c>
      <c r="O1131" s="7">
        <v>15.0491</v>
      </c>
      <c r="P1131" s="68">
        <v>19.0791</v>
      </c>
      <c r="Q1131" s="7">
        <v>19.0791</v>
      </c>
      <c r="R1131" s="7">
        <v>19.0791</v>
      </c>
      <c r="S1131" s="8">
        <v>19.0791</v>
      </c>
    </row>
    <row r="1132" spans="1:19" s="12" customFormat="1" ht="16.5" customHeight="1">
      <c r="A1132" s="3"/>
      <c r="B1132" s="13" t="s">
        <v>239</v>
      </c>
      <c r="C1132" s="7">
        <v>18.1628</v>
      </c>
      <c r="D1132" s="7"/>
      <c r="E1132" s="7">
        <v>18.6341</v>
      </c>
      <c r="F1132" s="7">
        <v>19.1578</v>
      </c>
      <c r="G1132" s="7">
        <v>22.0907</v>
      </c>
      <c r="H1132" s="14">
        <v>18.212</v>
      </c>
      <c r="I1132" s="7">
        <v>18.8521</v>
      </c>
      <c r="J1132" s="7">
        <v>19.1443</v>
      </c>
      <c r="K1132" s="7"/>
      <c r="L1132" s="7">
        <v>20.1128</v>
      </c>
      <c r="M1132" s="7"/>
      <c r="N1132" s="7">
        <v>18.2458</v>
      </c>
      <c r="O1132" s="7">
        <v>14.9543</v>
      </c>
      <c r="P1132" s="68">
        <v>19.4892</v>
      </c>
      <c r="Q1132" s="7">
        <v>19.4892</v>
      </c>
      <c r="R1132" s="7">
        <v>19.4892</v>
      </c>
      <c r="S1132" s="8">
        <v>19.4892</v>
      </c>
    </row>
    <row r="1133" spans="1:19" s="12" customFormat="1" ht="16.5" customHeight="1">
      <c r="A1133" s="3"/>
      <c r="B1133" s="13" t="s">
        <v>240</v>
      </c>
      <c r="C1133" s="7">
        <v>18.1426</v>
      </c>
      <c r="D1133" s="7"/>
      <c r="E1133" s="7">
        <v>18.6157</v>
      </c>
      <c r="F1133" s="7">
        <v>19.1415</v>
      </c>
      <c r="G1133" s="7">
        <v>22.0856</v>
      </c>
      <c r="H1133" s="14">
        <v>18.1936</v>
      </c>
      <c r="I1133" s="7">
        <v>18.8796</v>
      </c>
      <c r="J1133" s="7">
        <v>19.0715</v>
      </c>
      <c r="K1133" s="7"/>
      <c r="L1133" s="7">
        <v>19.5521</v>
      </c>
      <c r="M1133" s="7"/>
      <c r="N1133" s="7">
        <v>18.1876</v>
      </c>
      <c r="O1133" s="7">
        <v>14.8662</v>
      </c>
      <c r="P1133" s="68">
        <v>20.8849</v>
      </c>
      <c r="Q1133" s="7">
        <v>20.8849</v>
      </c>
      <c r="R1133" s="7">
        <v>20.8849</v>
      </c>
      <c r="S1133" s="8">
        <v>20.8849</v>
      </c>
    </row>
    <row r="1134" spans="1:19" s="12" customFormat="1" ht="16.5" customHeight="1">
      <c r="A1134" s="3"/>
      <c r="B1134" s="13" t="s">
        <v>241</v>
      </c>
      <c r="C1134" s="7">
        <v>17.6579</v>
      </c>
      <c r="D1134" s="7"/>
      <c r="E1134" s="7">
        <v>18.1747</v>
      </c>
      <c r="F1134" s="7">
        <v>18.7489</v>
      </c>
      <c r="G1134" s="7">
        <v>21.9645</v>
      </c>
      <c r="H1134" s="14">
        <v>17.7516</v>
      </c>
      <c r="I1134" s="7">
        <v>18.2029</v>
      </c>
      <c r="J1134" s="7">
        <v>18.4892</v>
      </c>
      <c r="K1134" s="7"/>
      <c r="L1134" s="7">
        <v>19.8871</v>
      </c>
      <c r="M1134" s="7"/>
      <c r="N1134" s="7">
        <v>17.5936</v>
      </c>
      <c r="O1134" s="7">
        <v>14.3764</v>
      </c>
      <c r="P1134" s="68">
        <v>21.2224</v>
      </c>
      <c r="Q1134" s="7">
        <v>21.2224</v>
      </c>
      <c r="R1134" s="7">
        <v>21.2224</v>
      </c>
      <c r="S1134" s="8">
        <v>21.2224</v>
      </c>
    </row>
    <row r="1135" spans="1:19" s="12" customFormat="1" ht="16.5" customHeight="1">
      <c r="A1135" s="3"/>
      <c r="B1135" s="13" t="s">
        <v>242</v>
      </c>
      <c r="C1135" s="7">
        <v>18.2492</v>
      </c>
      <c r="D1135" s="7"/>
      <c r="E1135" s="7">
        <v>18.7128</v>
      </c>
      <c r="F1135" s="7">
        <v>19.2279</v>
      </c>
      <c r="G1135" s="7">
        <v>22.1123</v>
      </c>
      <c r="H1135" s="14">
        <v>18.2895</v>
      </c>
      <c r="I1135" s="7">
        <v>18.6241</v>
      </c>
      <c r="J1135" s="7">
        <v>18.9176</v>
      </c>
      <c r="K1135" s="7"/>
      <c r="L1135" s="7">
        <v>19.8871</v>
      </c>
      <c r="M1135" s="7"/>
      <c r="N1135" s="7">
        <v>18.0708</v>
      </c>
      <c r="O1135" s="7">
        <v>14.7257</v>
      </c>
      <c r="P1135" s="68">
        <v>20.427</v>
      </c>
      <c r="Q1135" s="7">
        <v>20.427</v>
      </c>
      <c r="R1135" s="7">
        <v>20.427</v>
      </c>
      <c r="S1135" s="8">
        <v>20.427</v>
      </c>
    </row>
    <row r="1136" spans="1:19" s="12" customFormat="1" ht="16.5" customHeight="1">
      <c r="A1136" s="3"/>
      <c r="B1136" s="13" t="s">
        <v>243</v>
      </c>
      <c r="C1136" s="7">
        <v>18.4441</v>
      </c>
      <c r="D1136" s="7"/>
      <c r="E1136" s="7">
        <v>18.8901</v>
      </c>
      <c r="F1136" s="7">
        <v>19.3857</v>
      </c>
      <c r="G1136" s="7">
        <v>22.161</v>
      </c>
      <c r="H1136" s="14">
        <v>18.4681</v>
      </c>
      <c r="I1136" s="7">
        <v>18.8457</v>
      </c>
      <c r="J1136" s="7">
        <v>19.0802</v>
      </c>
      <c r="K1136" s="7"/>
      <c r="L1136" s="7">
        <v>19.9371</v>
      </c>
      <c r="M1136" s="7"/>
      <c r="N1136" s="7">
        <v>18.2933</v>
      </c>
      <c r="O1136" s="7">
        <v>15.003</v>
      </c>
      <c r="P1136" s="68">
        <v>20.289</v>
      </c>
      <c r="Q1136" s="7">
        <v>20.289</v>
      </c>
      <c r="R1136" s="7">
        <v>20.289</v>
      </c>
      <c r="S1136" s="8">
        <v>20.289</v>
      </c>
    </row>
    <row r="1137" spans="1:19" s="12" customFormat="1" ht="16.5" customHeight="1">
      <c r="A1137" s="3"/>
      <c r="B1137" s="4" t="s">
        <v>13</v>
      </c>
      <c r="C1137" s="11">
        <f>(C1131*1+C1132*7+C1133*7+C1134*7+C1135*7+C1136*2)/31</f>
        <v>18.08250322580645</v>
      </c>
      <c r="D1137" s="11"/>
      <c r="E1137" s="11">
        <f aca="true" t="shared" si="167" ref="E1137:S1137">(E1131*1+E1132*7+E1133*7+E1134*7+E1135*7+E1136*2)/31</f>
        <v>18.561058064516132</v>
      </c>
      <c r="F1137" s="11">
        <f t="shared" si="167"/>
        <v>19.09281935483871</v>
      </c>
      <c r="G1137" s="11">
        <f t="shared" si="167"/>
        <v>22.070619354838712</v>
      </c>
      <c r="H1137" s="21">
        <f t="shared" si="167"/>
        <v>18.13847741935484</v>
      </c>
      <c r="I1137" s="11">
        <f t="shared" si="167"/>
        <v>18.656829032258067</v>
      </c>
      <c r="J1137" s="11">
        <f t="shared" si="167"/>
        <v>18.926509677419357</v>
      </c>
      <c r="K1137" s="11"/>
      <c r="L1137" s="11">
        <f>(L1131*1+L1132*7+L1133*7+L1134*7+L1135*7+L1136*2)/31</f>
        <v>19.876035483870968</v>
      </c>
      <c r="M1137" s="11"/>
      <c r="N1137" s="11">
        <f t="shared" si="167"/>
        <v>18.05032580645161</v>
      </c>
      <c r="O1137" s="38">
        <f t="shared" si="167"/>
        <v>14.758493548387095</v>
      </c>
      <c r="P1137" s="11">
        <f t="shared" si="167"/>
        <v>20.445858064516127</v>
      </c>
      <c r="Q1137" s="11">
        <f>(Q1131*1+Q1132*7+Q1133*7+Q1134*7+Q1135*7+Q1136*2)/31</f>
        <v>20.445858064516127</v>
      </c>
      <c r="R1137" s="48">
        <f t="shared" si="167"/>
        <v>20.445858064516127</v>
      </c>
      <c r="S1137" s="38">
        <f t="shared" si="167"/>
        <v>20.445858064516127</v>
      </c>
    </row>
    <row r="1138" spans="1:19" s="12" customFormat="1" ht="16.5" customHeight="1">
      <c r="A1138" s="3"/>
      <c r="B1138" s="13" t="s">
        <v>244</v>
      </c>
      <c r="C1138" s="7">
        <v>18.1234</v>
      </c>
      <c r="D1138" s="7"/>
      <c r="E1138" s="7">
        <v>18.5983</v>
      </c>
      <c r="F1138" s="7">
        <v>19.126</v>
      </c>
      <c r="G1138" s="7">
        <v>22.0809</v>
      </c>
      <c r="H1138" s="14">
        <v>18.1762</v>
      </c>
      <c r="I1138" s="7">
        <v>18.5048</v>
      </c>
      <c r="J1138" s="7">
        <v>18.8095</v>
      </c>
      <c r="K1138" s="7"/>
      <c r="L1138" s="7">
        <v>19.7026</v>
      </c>
      <c r="M1138" s="7"/>
      <c r="N1138" s="7">
        <v>18.0034</v>
      </c>
      <c r="O1138" s="7">
        <v>14.8183</v>
      </c>
      <c r="P1138" s="68">
        <v>20.6667</v>
      </c>
      <c r="Q1138" s="7">
        <v>20.6667</v>
      </c>
      <c r="R1138" s="7">
        <v>20.6667</v>
      </c>
      <c r="S1138" s="8">
        <v>20.6667</v>
      </c>
    </row>
    <row r="1139" spans="1:19" s="12" customFormat="1" ht="16.5" customHeight="1">
      <c r="A1139" s="3"/>
      <c r="B1139" s="13" t="s">
        <v>245</v>
      </c>
      <c r="C1139" s="7">
        <v>18.3599</v>
      </c>
      <c r="D1139" s="7"/>
      <c r="E1139" s="7">
        <v>18.8135</v>
      </c>
      <c r="F1139" s="7">
        <v>19.3175</v>
      </c>
      <c r="G1139" s="7">
        <v>22.14</v>
      </c>
      <c r="H1139" s="14">
        <v>18.3912</v>
      </c>
      <c r="I1139" s="7">
        <v>18.6302</v>
      </c>
      <c r="J1139" s="7">
        <v>18.9871</v>
      </c>
      <c r="K1139" s="7"/>
      <c r="L1139" s="7">
        <v>19.7869</v>
      </c>
      <c r="M1139" s="7"/>
      <c r="N1139" s="7">
        <v>18.2296</v>
      </c>
      <c r="O1139" s="7">
        <v>14.6899</v>
      </c>
      <c r="P1139" s="68">
        <v>20.6667</v>
      </c>
      <c r="Q1139" s="7">
        <v>20.6667</v>
      </c>
      <c r="R1139" s="7">
        <v>20.6667</v>
      </c>
      <c r="S1139" s="8">
        <v>20.6667</v>
      </c>
    </row>
    <row r="1140" spans="1:19" s="12" customFormat="1" ht="16.5" customHeight="1">
      <c r="A1140" s="3"/>
      <c r="B1140" s="13" t="s">
        <v>246</v>
      </c>
      <c r="C1140" s="7">
        <v>18.4061</v>
      </c>
      <c r="D1140" s="7"/>
      <c r="E1140" s="7">
        <v>18.8555</v>
      </c>
      <c r="F1140" s="7">
        <v>19.3549</v>
      </c>
      <c r="G1140" s="7">
        <v>22.1515</v>
      </c>
      <c r="H1140" s="14">
        <v>18.4328</v>
      </c>
      <c r="I1140" s="7">
        <v>18.3546</v>
      </c>
      <c r="J1140" s="7">
        <v>18.8315</v>
      </c>
      <c r="K1140" s="7"/>
      <c r="L1140" s="7">
        <v>19.6201</v>
      </c>
      <c r="M1140" s="7"/>
      <c r="N1140" s="7">
        <v>18.0811</v>
      </c>
      <c r="O1140" s="7">
        <v>14.2964</v>
      </c>
      <c r="P1140" s="68">
        <v>21.0351</v>
      </c>
      <c r="Q1140" s="7">
        <v>21.0351</v>
      </c>
      <c r="R1140" s="7">
        <v>21.0351</v>
      </c>
      <c r="S1140" s="8">
        <v>21.0351</v>
      </c>
    </row>
    <row r="1141" spans="1:19" s="12" customFormat="1" ht="16.5" customHeight="1">
      <c r="A1141" s="3"/>
      <c r="B1141" s="13" t="s">
        <v>247</v>
      </c>
      <c r="C1141" s="7">
        <v>18.1341</v>
      </c>
      <c r="D1141" s="7"/>
      <c r="E1141" s="7">
        <v>18.6081</v>
      </c>
      <c r="F1141" s="7">
        <v>19.1346</v>
      </c>
      <c r="G1141" s="7">
        <v>22.0835</v>
      </c>
      <c r="H1141" s="14">
        <v>18.1902</v>
      </c>
      <c r="I1141" s="7">
        <v>18.2912</v>
      </c>
      <c r="J1141" s="7">
        <v>18.8189</v>
      </c>
      <c r="K1141" s="7"/>
      <c r="L1141" s="7">
        <v>19.6332</v>
      </c>
      <c r="M1141" s="7"/>
      <c r="N1141" s="7">
        <v>18.0611</v>
      </c>
      <c r="O1141" s="7">
        <v>14.1175</v>
      </c>
      <c r="P1141" s="68">
        <v>21.1824</v>
      </c>
      <c r="Q1141" s="7">
        <v>21.1824</v>
      </c>
      <c r="R1141" s="7">
        <v>21.1824</v>
      </c>
      <c r="S1141" s="8">
        <v>21.1824</v>
      </c>
    </row>
    <row r="1142" spans="1:19" s="12" customFormat="1" ht="16.5" customHeight="1">
      <c r="A1142" s="3"/>
      <c r="B1142" s="13" t="s">
        <v>248</v>
      </c>
      <c r="C1142" s="7">
        <v>18.4365</v>
      </c>
      <c r="D1142" s="7"/>
      <c r="E1142" s="7">
        <v>18.8833</v>
      </c>
      <c r="F1142" s="7">
        <v>19.3796</v>
      </c>
      <c r="G1142" s="7">
        <v>22.1591</v>
      </c>
      <c r="H1142" s="14">
        <v>18.4683</v>
      </c>
      <c r="I1142" s="7">
        <v>18.7121</v>
      </c>
      <c r="J1142" s="7">
        <v>19.3018</v>
      </c>
      <c r="K1142" s="7"/>
      <c r="L1142" s="7">
        <v>20.0328</v>
      </c>
      <c r="M1142" s="7"/>
      <c r="N1142" s="7">
        <v>18.5901</v>
      </c>
      <c r="O1142" s="7">
        <v>14.2934</v>
      </c>
      <c r="P1142" s="68">
        <v>21.255</v>
      </c>
      <c r="Q1142" s="7">
        <v>21.255</v>
      </c>
      <c r="R1142" s="7">
        <v>21.255</v>
      </c>
      <c r="S1142" s="8">
        <v>21.255</v>
      </c>
    </row>
    <row r="1143" spans="1:19" s="12" customFormat="1" ht="16.5" customHeight="1">
      <c r="A1143" s="3"/>
      <c r="B1143" s="4" t="s">
        <v>13</v>
      </c>
      <c r="C1143" s="11">
        <f>(C1138*5+C1139*7+C1140*7+C1141*7+C1142*5)/31</f>
        <v>18.293554838709678</v>
      </c>
      <c r="D1143" s="11"/>
      <c r="E1143" s="11">
        <f aca="true" t="shared" si="168" ref="E1143:S1143">(E1138*5+E1139*7+E1140*7+E1141*7+E1142*5)/31</f>
        <v>18.753151612903228</v>
      </c>
      <c r="F1143" s="11">
        <f t="shared" si="168"/>
        <v>19.26377419354839</v>
      </c>
      <c r="G1143" s="11">
        <f t="shared" si="168"/>
        <v>22.12338709677419</v>
      </c>
      <c r="H1143" s="11">
        <f t="shared" si="168"/>
        <v>18.33296451612903</v>
      </c>
      <c r="I1143" s="11">
        <f t="shared" si="168"/>
        <v>18.48440322580645</v>
      </c>
      <c r="J1143" s="11">
        <f t="shared" si="168"/>
        <v>18.936096774193548</v>
      </c>
      <c r="K1143" s="11"/>
      <c r="L1143" s="11">
        <f>(L1138*5+L1139*7+L1140*7+L1141*7+L1142*5)/31</f>
        <v>19.740593548387096</v>
      </c>
      <c r="M1143" s="11"/>
      <c r="N1143" s="11">
        <f t="shared" si="168"/>
        <v>18.17968064516129</v>
      </c>
      <c r="O1143" s="38">
        <f t="shared" si="168"/>
        <v>14.428551612903224</v>
      </c>
      <c r="P1143" s="11">
        <f>(P1138*5+P1139*7+P1140*7+P1141*7+P1142*5)/31</f>
        <v>20.96122258064516</v>
      </c>
      <c r="Q1143" s="11">
        <f t="shared" si="168"/>
        <v>20.96122258064516</v>
      </c>
      <c r="R1143" s="48">
        <f t="shared" si="168"/>
        <v>20.96122258064516</v>
      </c>
      <c r="S1143" s="38">
        <f t="shared" si="168"/>
        <v>20.96122258064516</v>
      </c>
    </row>
    <row r="1144" spans="1:19" s="12" customFormat="1" ht="16.5" customHeight="1">
      <c r="A1144" s="3"/>
      <c r="B1144" s="13" t="s">
        <v>27</v>
      </c>
      <c r="C1144" s="7">
        <v>18.7139</v>
      </c>
      <c r="D1144" s="7"/>
      <c r="E1144" s="7">
        <v>19.1356</v>
      </c>
      <c r="F1144" s="7">
        <v>19.6042</v>
      </c>
      <c r="G1144" s="7">
        <v>22.2285</v>
      </c>
      <c r="H1144" s="14">
        <v>18.7198</v>
      </c>
      <c r="I1144" s="7">
        <v>18.9574</v>
      </c>
      <c r="J1144" s="7">
        <v>19.5529</v>
      </c>
      <c r="K1144" s="7"/>
      <c r="L1144" s="7">
        <v>20.2504</v>
      </c>
      <c r="M1144" s="7"/>
      <c r="N1144" s="7">
        <v>18.8584</v>
      </c>
      <c r="O1144" s="7">
        <v>14.4862</v>
      </c>
      <c r="P1144" s="68">
        <v>21.2731</v>
      </c>
      <c r="Q1144" s="7">
        <v>21.2731</v>
      </c>
      <c r="R1144" s="7">
        <v>21.2731</v>
      </c>
      <c r="S1144" s="8">
        <v>21.2731</v>
      </c>
    </row>
    <row r="1145" spans="1:19" s="12" customFormat="1" ht="16.5" customHeight="1">
      <c r="A1145" s="3"/>
      <c r="B1145" s="13" t="s">
        <v>249</v>
      </c>
      <c r="C1145" s="7">
        <v>18.8589</v>
      </c>
      <c r="D1145" s="7"/>
      <c r="E1145" s="7">
        <v>19.2676</v>
      </c>
      <c r="F1145" s="7">
        <v>19.7217</v>
      </c>
      <c r="G1145" s="7">
        <v>22.2647</v>
      </c>
      <c r="H1145" s="14">
        <v>18.851</v>
      </c>
      <c r="I1145" s="7">
        <v>19.1256</v>
      </c>
      <c r="J1145" s="7">
        <v>19.7093</v>
      </c>
      <c r="K1145" s="7"/>
      <c r="L1145" s="7">
        <v>20.3485</v>
      </c>
      <c r="M1145" s="7"/>
      <c r="N1145" s="7">
        <v>19.0446</v>
      </c>
      <c r="O1145" s="7">
        <v>14.2499</v>
      </c>
      <c r="P1145" s="68">
        <v>21.2731</v>
      </c>
      <c r="Q1145" s="7">
        <v>21.2731</v>
      </c>
      <c r="R1145" s="7">
        <v>21.2731</v>
      </c>
      <c r="S1145" s="8">
        <v>21.2731</v>
      </c>
    </row>
    <row r="1146" spans="1:19" s="12" customFormat="1" ht="16.5" customHeight="1">
      <c r="A1146" s="3"/>
      <c r="B1146" s="13" t="s">
        <v>250</v>
      </c>
      <c r="C1146" s="7">
        <v>18.9118</v>
      </c>
      <c r="D1146" s="7"/>
      <c r="E1146" s="7">
        <v>19.3158</v>
      </c>
      <c r="F1146" s="7">
        <v>19.7646</v>
      </c>
      <c r="G1146" s="7">
        <v>22.278</v>
      </c>
      <c r="H1146" s="14">
        <v>18.8996</v>
      </c>
      <c r="I1146" s="7">
        <v>19.0824</v>
      </c>
      <c r="J1146" s="7">
        <v>19.6434</v>
      </c>
      <c r="K1146" s="7"/>
      <c r="L1146" s="7">
        <v>20.2739</v>
      </c>
      <c r="M1146" s="7"/>
      <c r="N1146" s="7">
        <v>18.9829</v>
      </c>
      <c r="O1146" s="7">
        <v>14.3481</v>
      </c>
      <c r="P1146" s="68">
        <v>21.6457</v>
      </c>
      <c r="Q1146" s="7">
        <v>21.6457</v>
      </c>
      <c r="R1146" s="7">
        <v>21.6457</v>
      </c>
      <c r="S1146" s="8">
        <v>21.6457</v>
      </c>
    </row>
    <row r="1147" spans="1:19" s="12" customFormat="1" ht="16.5" customHeight="1">
      <c r="A1147" s="3"/>
      <c r="B1147" s="13" t="s">
        <v>251</v>
      </c>
      <c r="C1147" s="7">
        <v>19.019</v>
      </c>
      <c r="D1147" s="7"/>
      <c r="E1147" s="7">
        <v>19.4133</v>
      </c>
      <c r="F1147" s="7">
        <v>19.8514</v>
      </c>
      <c r="G1147" s="7">
        <v>22.3048</v>
      </c>
      <c r="H1147" s="14">
        <v>18.9997</v>
      </c>
      <c r="I1147" s="7">
        <v>19.0252</v>
      </c>
      <c r="J1147" s="7">
        <v>19.5646</v>
      </c>
      <c r="K1147" s="7"/>
      <c r="L1147" s="7">
        <v>20.175</v>
      </c>
      <c r="M1147" s="7"/>
      <c r="N1147" s="7">
        <v>18.9165</v>
      </c>
      <c r="O1147" s="7">
        <v>14.4343</v>
      </c>
      <c r="P1147" s="68">
        <v>21.7078</v>
      </c>
      <c r="Q1147" s="7">
        <v>21.7078</v>
      </c>
      <c r="R1147" s="7">
        <v>21.7078</v>
      </c>
      <c r="S1147" s="8">
        <v>21.7078</v>
      </c>
    </row>
    <row r="1148" spans="1:19" s="12" customFormat="1" ht="16.5" customHeight="1">
      <c r="A1148" s="3"/>
      <c r="B1148" s="13" t="s">
        <v>252</v>
      </c>
      <c r="C1148" s="7">
        <v>19.2941</v>
      </c>
      <c r="D1148" s="7"/>
      <c r="E1148" s="7">
        <v>19.6636</v>
      </c>
      <c r="F1148" s="7">
        <v>20.0742</v>
      </c>
      <c r="G1148" s="7">
        <v>22.3735</v>
      </c>
      <c r="H1148" s="14">
        <v>19.2509</v>
      </c>
      <c r="I1148" s="7">
        <v>19.4559</v>
      </c>
      <c r="J1148" s="7">
        <v>20.0225</v>
      </c>
      <c r="K1148" s="7"/>
      <c r="L1148" s="7">
        <v>20.462</v>
      </c>
      <c r="M1148" s="7"/>
      <c r="N1148" s="7">
        <v>19.4645</v>
      </c>
      <c r="O1148" s="7">
        <v>15.0215</v>
      </c>
      <c r="P1148" s="68">
        <v>22.2789</v>
      </c>
      <c r="Q1148" s="7">
        <v>22.2789</v>
      </c>
      <c r="R1148" s="7">
        <v>22.2789</v>
      </c>
      <c r="S1148" s="8">
        <v>22.2789</v>
      </c>
    </row>
    <row r="1149" spans="1:19" s="12" customFormat="1" ht="16.5" customHeight="1">
      <c r="A1149" s="3"/>
      <c r="B1149" s="4" t="s">
        <v>13</v>
      </c>
      <c r="C1149" s="11">
        <f>(C1144*2+C1145*7+C1146*7+C1147*7+C1148*7)/30</f>
        <v>19.000479999999996</v>
      </c>
      <c r="D1149" s="11"/>
      <c r="E1149" s="11">
        <f aca="true" t="shared" si="169" ref="E1149:S1149">(E1144*2+E1145*7+E1146*7+E1147*7+E1148*7)/30</f>
        <v>19.39644333333333</v>
      </c>
      <c r="F1149" s="11">
        <f t="shared" si="169"/>
        <v>19.836389999999998</v>
      </c>
      <c r="G1149" s="11">
        <f t="shared" si="169"/>
        <v>22.300133333333335</v>
      </c>
      <c r="H1149" s="11">
        <f>(H1144*2+H1145*7+H1146*7+H1147*7+H1148*7)/30</f>
        <v>18.981600000000004</v>
      </c>
      <c r="I1149" s="11">
        <f t="shared" si="169"/>
        <v>19.157949999999996</v>
      </c>
      <c r="J1149" s="11">
        <f t="shared" si="169"/>
        <v>19.72281333333333</v>
      </c>
      <c r="K1149" s="11"/>
      <c r="L1149" s="11">
        <f t="shared" si="169"/>
        <v>20.31055333333334</v>
      </c>
      <c r="M1149" s="11"/>
      <c r="N1149" s="11">
        <f t="shared" si="169"/>
        <v>19.085876666666667</v>
      </c>
      <c r="O1149" s="38">
        <f t="shared" si="169"/>
        <v>14.51163333333333</v>
      </c>
      <c r="P1149" s="11">
        <f t="shared" si="169"/>
        <v>21.69615666666667</v>
      </c>
      <c r="Q1149" s="11">
        <f>(Q1144*2+Q1145*7+Q1146*7+Q1147*7+Q1148*7)/30</f>
        <v>21.69615666666667</v>
      </c>
      <c r="R1149" s="48">
        <f t="shared" si="169"/>
        <v>21.69615666666667</v>
      </c>
      <c r="S1149" s="38">
        <f t="shared" si="169"/>
        <v>21.69615666666667</v>
      </c>
    </row>
    <row r="1150" spans="1:19" s="12" customFormat="1" ht="16.5" customHeight="1">
      <c r="A1150" s="3"/>
      <c r="B1150" s="13" t="s">
        <v>253</v>
      </c>
      <c r="C1150" s="7">
        <v>19.7504</v>
      </c>
      <c r="D1150" s="7"/>
      <c r="E1150" s="7">
        <v>20.0707</v>
      </c>
      <c r="F1150" s="7">
        <v>20.4267</v>
      </c>
      <c r="G1150" s="7">
        <v>22.4201</v>
      </c>
      <c r="H1150" s="14">
        <v>19.6573</v>
      </c>
      <c r="I1150" s="7">
        <v>20.1675</v>
      </c>
      <c r="J1150" s="7">
        <v>20.7258</v>
      </c>
      <c r="K1150" s="7"/>
      <c r="L1150" s="7">
        <v>21.0258</v>
      </c>
      <c r="M1150" s="7"/>
      <c r="N1150" s="7">
        <v>20.2403</v>
      </c>
      <c r="O1150" s="7">
        <v>15.8592</v>
      </c>
      <c r="P1150" s="68">
        <v>22.3741</v>
      </c>
      <c r="Q1150" s="7">
        <v>22.3741</v>
      </c>
      <c r="R1150" s="7">
        <v>22.3741</v>
      </c>
      <c r="S1150" s="8">
        <v>22.3741</v>
      </c>
    </row>
    <row r="1151" spans="1:19" s="12" customFormat="1" ht="16.5" customHeight="1">
      <c r="A1151" s="3"/>
      <c r="B1151" s="13" t="s">
        <v>254</v>
      </c>
      <c r="C1151" s="7">
        <v>19.7464</v>
      </c>
      <c r="D1151" s="7"/>
      <c r="E1151" s="7">
        <v>20.0671</v>
      </c>
      <c r="F1151" s="7">
        <v>20.4235</v>
      </c>
      <c r="G1151" s="7">
        <v>22.4191</v>
      </c>
      <c r="H1151" s="14">
        <v>19.6484</v>
      </c>
      <c r="I1151" s="7">
        <v>20.4541</v>
      </c>
      <c r="J1151" s="7">
        <v>20.8045</v>
      </c>
      <c r="K1151" s="7"/>
      <c r="L1151" s="7">
        <v>21.0566</v>
      </c>
      <c r="M1151" s="7"/>
      <c r="N1151" s="7">
        <v>20.3344</v>
      </c>
      <c r="O1151" s="7">
        <v>16.1615</v>
      </c>
      <c r="P1151" s="68">
        <v>22.5831</v>
      </c>
      <c r="Q1151" s="7">
        <v>22.5831</v>
      </c>
      <c r="R1151" s="7">
        <v>22.5831</v>
      </c>
      <c r="S1151" s="8">
        <v>22.5831</v>
      </c>
    </row>
    <row r="1152" spans="1:19" s="12" customFormat="1" ht="16.5" customHeight="1">
      <c r="A1152" s="3"/>
      <c r="B1152" s="13" t="s">
        <v>255</v>
      </c>
      <c r="C1152" s="7">
        <v>18.6193</v>
      </c>
      <c r="D1152" s="7"/>
      <c r="E1152" s="7">
        <v>19.0414</v>
      </c>
      <c r="F1152" s="7">
        <v>19.5105</v>
      </c>
      <c r="G1152" s="7">
        <v>22.1373</v>
      </c>
      <c r="H1152" s="14">
        <v>18.6253</v>
      </c>
      <c r="I1152" s="7">
        <v>19.8532</v>
      </c>
      <c r="J1152" s="7">
        <v>20.2599</v>
      </c>
      <c r="K1152" s="7"/>
      <c r="L1152" s="7">
        <v>20.5848</v>
      </c>
      <c r="M1152" s="7"/>
      <c r="N1152" s="7">
        <v>19.7496</v>
      </c>
      <c r="O1152" s="7">
        <v>15.8007</v>
      </c>
      <c r="P1152" s="68">
        <v>22.6179</v>
      </c>
      <c r="Q1152" s="7">
        <v>22.6179</v>
      </c>
      <c r="R1152" s="7">
        <v>22.6179</v>
      </c>
      <c r="S1152" s="8">
        <v>22.6179</v>
      </c>
    </row>
    <row r="1153" spans="1:19" s="12" customFormat="1" ht="16.5" customHeight="1">
      <c r="A1153" s="3"/>
      <c r="B1153" s="13" t="s">
        <v>256</v>
      </c>
      <c r="C1153" s="7">
        <v>17.7827</v>
      </c>
      <c r="D1153" s="7"/>
      <c r="E1153" s="7">
        <v>18.2801</v>
      </c>
      <c r="F1153" s="7">
        <v>18.8329</v>
      </c>
      <c r="G1153" s="7">
        <v>21.9282</v>
      </c>
      <c r="H1153" s="14">
        <v>17.8623</v>
      </c>
      <c r="I1153" s="7">
        <v>19.6178</v>
      </c>
      <c r="J1153" s="7">
        <v>20.0679</v>
      </c>
      <c r="K1153" s="7"/>
      <c r="L1153" s="7">
        <v>20.4171</v>
      </c>
      <c r="M1153" s="7"/>
      <c r="N1153" s="7">
        <v>19.5431</v>
      </c>
      <c r="O1153" s="7">
        <v>15.6146</v>
      </c>
      <c r="P1153" s="68">
        <v>21.9281</v>
      </c>
      <c r="Q1153" s="7">
        <v>21.9281</v>
      </c>
      <c r="R1153" s="7">
        <v>21.9281</v>
      </c>
      <c r="S1153" s="8">
        <v>21.9281</v>
      </c>
    </row>
    <row r="1154" spans="1:19" s="12" customFormat="1" ht="16.5" customHeight="1">
      <c r="A1154" s="3"/>
      <c r="B1154" s="13" t="s">
        <v>257</v>
      </c>
      <c r="C1154" s="7">
        <v>17.6022</v>
      </c>
      <c r="D1154" s="7"/>
      <c r="E1154" s="7">
        <v>18.1159</v>
      </c>
      <c r="F1154" s="7">
        <v>18.6867</v>
      </c>
      <c r="G1154" s="7">
        <v>21.8831</v>
      </c>
      <c r="H1154" s="14">
        <v>17.6939</v>
      </c>
      <c r="I1154" s="7">
        <v>19.7375</v>
      </c>
      <c r="J1154" s="7">
        <v>20.1818</v>
      </c>
      <c r="K1154" s="7"/>
      <c r="L1154" s="7">
        <v>20.4944</v>
      </c>
      <c r="M1154" s="7"/>
      <c r="N1154" s="7">
        <v>19.6724</v>
      </c>
      <c r="O1154" s="7">
        <v>15.8309</v>
      </c>
      <c r="P1154" s="68">
        <v>21.6522</v>
      </c>
      <c r="Q1154" s="7">
        <v>21.6522</v>
      </c>
      <c r="R1154" s="7">
        <v>21.6522</v>
      </c>
      <c r="S1154" s="8">
        <v>21.6522</v>
      </c>
    </row>
    <row r="1155" spans="1:19" s="12" customFormat="1" ht="16.5" customHeight="1">
      <c r="A1155" s="3"/>
      <c r="B1155" s="4" t="s">
        <v>13</v>
      </c>
      <c r="C1155" s="11">
        <f>(C1150*7+C1151*7+C1152*7+C1153*7+C1154*3)/31</f>
        <v>18.841877419354837</v>
      </c>
      <c r="D1155" s="11"/>
      <c r="E1155" s="11">
        <f aca="true" t="shared" si="170" ref="E1155:R1155">(E1150*7+E1151*7+E1152*7+E1153*7+E1154*3)/31</f>
        <v>19.24396129032258</v>
      </c>
      <c r="F1155" s="11">
        <f t="shared" si="170"/>
        <v>19.690816129032257</v>
      </c>
      <c r="G1155" s="11">
        <f t="shared" si="170"/>
        <v>22.192974193548388</v>
      </c>
      <c r="H1155" s="11">
        <f t="shared" si="170"/>
        <v>18.82692903225806</v>
      </c>
      <c r="I1155" s="11">
        <f t="shared" si="170"/>
        <v>19.9955064516129</v>
      </c>
      <c r="J1155" s="11">
        <f t="shared" si="170"/>
        <v>20.437164516129034</v>
      </c>
      <c r="K1155" s="11"/>
      <c r="L1155" s="11">
        <f t="shared" si="170"/>
        <v>20.7443</v>
      </c>
      <c r="M1155" s="11"/>
      <c r="N1155" s="11">
        <f t="shared" si="170"/>
        <v>19.938354838709678</v>
      </c>
      <c r="O1155" s="38">
        <f t="shared" si="170"/>
        <v>15.856280645161291</v>
      </c>
      <c r="P1155" s="11">
        <f t="shared" si="170"/>
        <v>22.305774193548388</v>
      </c>
      <c r="Q1155" s="11">
        <f t="shared" si="170"/>
        <v>22.305774193548388</v>
      </c>
      <c r="R1155" s="48">
        <f t="shared" si="170"/>
        <v>22.305774193548388</v>
      </c>
      <c r="S1155" s="38">
        <f>(S1150*7+S1151*7+S1152*7+S1153*7+S1154*3)/31</f>
        <v>22.305774193548388</v>
      </c>
    </row>
    <row r="1156" spans="1:19" s="12" customFormat="1" ht="16.5" customHeight="1">
      <c r="A1156" s="3"/>
      <c r="B1156" s="13" t="s">
        <v>89</v>
      </c>
      <c r="C1156" s="7">
        <v>17.2206</v>
      </c>
      <c r="D1156" s="7"/>
      <c r="E1156" s="7">
        <v>17.7687</v>
      </c>
      <c r="F1156" s="7">
        <v>18.3776</v>
      </c>
      <c r="G1156" s="7">
        <v>21.7877</v>
      </c>
      <c r="H1156" s="14">
        <v>17.3477</v>
      </c>
      <c r="I1156" s="7">
        <v>19.4461</v>
      </c>
      <c r="J1156" s="7">
        <v>19.6875</v>
      </c>
      <c r="K1156" s="7"/>
      <c r="L1156" s="7">
        <v>20.0661</v>
      </c>
      <c r="M1156" s="7"/>
      <c r="N1156" s="7">
        <v>19.1441</v>
      </c>
      <c r="O1156" s="7">
        <v>15.7</v>
      </c>
      <c r="P1156" s="68">
        <v>21.6522</v>
      </c>
      <c r="Q1156" s="7">
        <v>21.6522</v>
      </c>
      <c r="R1156" s="7">
        <v>21.6522</v>
      </c>
      <c r="S1156" s="8">
        <v>21.6522</v>
      </c>
    </row>
    <row r="1157" spans="1:19" s="12" customFormat="1" ht="16.5" customHeight="1">
      <c r="A1157" s="3"/>
      <c r="B1157" s="13" t="s">
        <v>258</v>
      </c>
      <c r="C1157" s="7">
        <v>16.1763</v>
      </c>
      <c r="D1157" s="7"/>
      <c r="E1157" s="7">
        <v>16.8183</v>
      </c>
      <c r="F1157" s="7">
        <v>17.5317</v>
      </c>
      <c r="G1157" s="7">
        <v>21.5266</v>
      </c>
      <c r="H1157" s="14">
        <v>16.3996</v>
      </c>
      <c r="I1157" s="7">
        <v>18.697</v>
      </c>
      <c r="J1157" s="7">
        <v>18.9568</v>
      </c>
      <c r="K1157" s="7"/>
      <c r="L1157" s="7">
        <v>19.3983</v>
      </c>
      <c r="M1157" s="7"/>
      <c r="N1157" s="7">
        <v>18.3677</v>
      </c>
      <c r="O1157" s="7">
        <v>15.395</v>
      </c>
      <c r="P1157" s="68">
        <v>19.3311</v>
      </c>
      <c r="Q1157" s="7">
        <v>19.3311</v>
      </c>
      <c r="R1157" s="7">
        <v>19.3311</v>
      </c>
      <c r="S1157" s="8">
        <v>19.3311</v>
      </c>
    </row>
    <row r="1158" spans="1:19" s="12" customFormat="1" ht="16.5" customHeight="1">
      <c r="A1158" s="3"/>
      <c r="B1158" s="13" t="s">
        <v>259</v>
      </c>
      <c r="C1158" s="7">
        <v>15.2771</v>
      </c>
      <c r="D1158" s="7"/>
      <c r="E1158" s="7">
        <v>16</v>
      </c>
      <c r="F1158" s="7">
        <v>16.8033</v>
      </c>
      <c r="G1158" s="7">
        <v>21.3018</v>
      </c>
      <c r="H1158" s="14">
        <v>15.5807</v>
      </c>
      <c r="I1158" s="7">
        <v>18.1939</v>
      </c>
      <c r="J1158" s="7">
        <v>18.3018</v>
      </c>
      <c r="K1158" s="7"/>
      <c r="L1158" s="7">
        <v>18.761</v>
      </c>
      <c r="M1158" s="7"/>
      <c r="N1158" s="7">
        <v>17.6913</v>
      </c>
      <c r="O1158" s="7">
        <v>14.5265</v>
      </c>
      <c r="P1158" s="68">
        <v>18.9443</v>
      </c>
      <c r="Q1158" s="7">
        <v>18.9443</v>
      </c>
      <c r="R1158" s="7">
        <v>18.9443</v>
      </c>
      <c r="S1158" s="8">
        <v>18.9443</v>
      </c>
    </row>
    <row r="1159" spans="1:19" s="12" customFormat="1" ht="16.5" customHeight="1">
      <c r="A1159" s="3"/>
      <c r="B1159" s="13" t="s">
        <v>260</v>
      </c>
      <c r="C1159" s="7">
        <v>14.8332</v>
      </c>
      <c r="D1159" s="7"/>
      <c r="E1159" s="7">
        <v>15.5961</v>
      </c>
      <c r="F1159" s="7">
        <v>16.4438</v>
      </c>
      <c r="G1159" s="7">
        <v>21.1908</v>
      </c>
      <c r="H1159" s="14">
        <v>15.1771</v>
      </c>
      <c r="I1159" s="7">
        <v>17.273</v>
      </c>
      <c r="J1159" s="7">
        <v>17.2915</v>
      </c>
      <c r="K1159" s="7"/>
      <c r="L1159" s="7">
        <v>19.3983</v>
      </c>
      <c r="M1159" s="7"/>
      <c r="N1159" s="7">
        <v>16.6403</v>
      </c>
      <c r="O1159" s="7">
        <v>13.9975</v>
      </c>
      <c r="P1159" s="68">
        <v>16.7643</v>
      </c>
      <c r="Q1159" s="7">
        <v>16.7643</v>
      </c>
      <c r="R1159" s="7">
        <v>16.7643</v>
      </c>
      <c r="S1159" s="8">
        <v>16.7643</v>
      </c>
    </row>
    <row r="1160" spans="1:19" s="12" customFormat="1" ht="16.5" customHeight="1">
      <c r="A1160" s="3"/>
      <c r="B1160" s="13" t="s">
        <v>261</v>
      </c>
      <c r="C1160" s="7">
        <v>13.702</v>
      </c>
      <c r="D1160" s="7"/>
      <c r="E1160" s="7">
        <v>14.5667</v>
      </c>
      <c r="F1160" s="7">
        <v>15.5275</v>
      </c>
      <c r="G1160" s="7">
        <v>20.908</v>
      </c>
      <c r="H1160" s="14">
        <v>14.1476</v>
      </c>
      <c r="I1160" s="7">
        <v>16.2825</v>
      </c>
      <c r="J1160" s="7">
        <v>16.1674</v>
      </c>
      <c r="K1160" s="7"/>
      <c r="L1160" s="7">
        <v>16.745</v>
      </c>
      <c r="M1160" s="7"/>
      <c r="N1160" s="7">
        <v>15.489</v>
      </c>
      <c r="O1160" s="7">
        <v>13.0472</v>
      </c>
      <c r="P1160" s="68">
        <v>16.401</v>
      </c>
      <c r="Q1160" s="7">
        <v>16.401</v>
      </c>
      <c r="R1160" s="7">
        <v>16.401</v>
      </c>
      <c r="S1160" s="8">
        <v>16.401</v>
      </c>
    </row>
    <row r="1161" spans="1:19" s="12" customFormat="1" ht="16.5" customHeight="1">
      <c r="A1161" s="3"/>
      <c r="B1161" s="4" t="s">
        <v>13</v>
      </c>
      <c r="C1161" s="11">
        <f>(C1156*4+C1157*7+C1158*7+C1159*7+C1160*5)/30</f>
        <v>15.379953333333335</v>
      </c>
      <c r="D1161" s="11"/>
      <c r="E1161" s="11">
        <f aca="true" t="shared" si="171" ref="E1161:S1161">(E1156*4+E1157*7+E1158*7+E1159*7+E1160*5)/30</f>
        <v>16.093636666666665</v>
      </c>
      <c r="F1161" s="11">
        <f t="shared" si="171"/>
        <v>16.88665</v>
      </c>
      <c r="G1161" s="11">
        <f t="shared" si="171"/>
        <v>21.327506666666668</v>
      </c>
      <c r="H1161" s="11">
        <f t="shared" si="171"/>
        <v>15.67435333333333</v>
      </c>
      <c r="I1161" s="11">
        <f t="shared" si="171"/>
        <v>17.94480666666667</v>
      </c>
      <c r="J1161" s="11">
        <f t="shared" si="171"/>
        <v>18.047923333333337</v>
      </c>
      <c r="K1161" s="11"/>
      <c r="L1161" s="11">
        <f t="shared" si="171"/>
        <v>18.89642</v>
      </c>
      <c r="M1161" s="11"/>
      <c r="N1161" s="11">
        <f t="shared" si="171"/>
        <v>17.43055</v>
      </c>
      <c r="O1161" s="38">
        <f t="shared" si="171"/>
        <v>14.515633333333334</v>
      </c>
      <c r="P1161" s="11">
        <f t="shared" si="171"/>
        <v>18.463056666666667</v>
      </c>
      <c r="Q1161" s="11">
        <f t="shared" si="171"/>
        <v>18.463056666666667</v>
      </c>
      <c r="R1161" s="48">
        <f>(R1156*4+R1157*7+R1158*7+R1159*7+R1160*5)/30</f>
        <v>18.463056666666667</v>
      </c>
      <c r="S1161" s="38">
        <f t="shared" si="171"/>
        <v>18.463056666666667</v>
      </c>
    </row>
    <row r="1162" spans="1:19" s="12" customFormat="1" ht="16.5" customHeight="1">
      <c r="A1162" s="3"/>
      <c r="B1162" s="13" t="s">
        <v>40</v>
      </c>
      <c r="C1162" s="7">
        <v>13.2903</v>
      </c>
      <c r="D1162" s="7"/>
      <c r="E1162" s="7">
        <v>14.192</v>
      </c>
      <c r="F1162" s="7">
        <v>15.194</v>
      </c>
      <c r="G1162" s="7">
        <v>20.8051</v>
      </c>
      <c r="H1162" s="14">
        <v>13.7743</v>
      </c>
      <c r="I1162" s="7">
        <v>15.7902</v>
      </c>
      <c r="J1162" s="7">
        <v>15.7291</v>
      </c>
      <c r="K1162" s="7"/>
      <c r="L1162" s="7">
        <v>16.3641</v>
      </c>
      <c r="M1162" s="7"/>
      <c r="N1162" s="7">
        <v>15.0196</v>
      </c>
      <c r="O1162" s="7">
        <v>12.4161</v>
      </c>
      <c r="P1162" s="68">
        <v>16.401</v>
      </c>
      <c r="Q1162" s="7">
        <v>16.401</v>
      </c>
      <c r="R1162" s="7">
        <v>16.401</v>
      </c>
      <c r="S1162" s="8">
        <v>16.401</v>
      </c>
    </row>
    <row r="1163" spans="1:19" s="12" customFormat="1" ht="16.5" customHeight="1">
      <c r="A1163" s="3"/>
      <c r="B1163" s="13" t="s">
        <v>262</v>
      </c>
      <c r="C1163" s="7">
        <v>13.5392</v>
      </c>
      <c r="D1163" s="7"/>
      <c r="E1163" s="7">
        <v>14.4186</v>
      </c>
      <c r="F1163" s="7">
        <v>15.3957</v>
      </c>
      <c r="G1163" s="7">
        <v>20.8673</v>
      </c>
      <c r="H1163" s="14">
        <v>14.0022</v>
      </c>
      <c r="I1163" s="7">
        <v>15.6282</v>
      </c>
      <c r="J1163" s="7">
        <v>15.7046</v>
      </c>
      <c r="K1163" s="7"/>
      <c r="L1163" s="7">
        <v>16.3363</v>
      </c>
      <c r="M1163" s="7"/>
      <c r="N1163" s="7">
        <v>14.9985</v>
      </c>
      <c r="O1163" s="7">
        <v>12.6073</v>
      </c>
      <c r="P1163" s="68">
        <v>15.7394</v>
      </c>
      <c r="Q1163" s="7">
        <v>15.7394</v>
      </c>
      <c r="R1163" s="7">
        <v>15.7394</v>
      </c>
      <c r="S1163" s="8">
        <v>15.7394</v>
      </c>
    </row>
    <row r="1164" spans="1:19" s="12" customFormat="1" ht="16.5" customHeight="1">
      <c r="A1164" s="3"/>
      <c r="B1164" s="13" t="s">
        <v>263</v>
      </c>
      <c r="C1164" s="7">
        <v>13.4432</v>
      </c>
      <c r="D1164" s="7"/>
      <c r="E1164" s="7">
        <v>14.3312</v>
      </c>
      <c r="F1164" s="7">
        <v>15.3179</v>
      </c>
      <c r="G1164" s="7">
        <v>20.8433</v>
      </c>
      <c r="H1164" s="14">
        <v>13.9151</v>
      </c>
      <c r="I1164" s="7">
        <v>15.4099</v>
      </c>
      <c r="J1164" s="7">
        <v>15.5273</v>
      </c>
      <c r="K1164" s="7"/>
      <c r="L1164" s="7">
        <v>16.2201</v>
      </c>
      <c r="M1164" s="7"/>
      <c r="N1164" s="7">
        <v>14.7878</v>
      </c>
      <c r="O1164" s="7">
        <v>12.0746</v>
      </c>
      <c r="P1164" s="68">
        <v>15.6291</v>
      </c>
      <c r="Q1164" s="7">
        <v>15.6291</v>
      </c>
      <c r="R1164" s="7">
        <v>15.6291</v>
      </c>
      <c r="S1164" s="8">
        <v>15.6291</v>
      </c>
    </row>
    <row r="1165" spans="1:19" s="12" customFormat="1" ht="16.5" customHeight="1">
      <c r="A1165" s="3"/>
      <c r="B1165" s="13" t="s">
        <v>264</v>
      </c>
      <c r="C1165" s="7">
        <v>13.0518</v>
      </c>
      <c r="D1165" s="7"/>
      <c r="E1165" s="7">
        <v>13.975</v>
      </c>
      <c r="F1165" s="7">
        <v>15.0009</v>
      </c>
      <c r="G1165" s="7">
        <v>20.7455</v>
      </c>
      <c r="H1165" s="14">
        <v>13.5595</v>
      </c>
      <c r="I1165" s="7">
        <v>14.8747</v>
      </c>
      <c r="J1165" s="7">
        <v>15.0268</v>
      </c>
      <c r="K1165" s="7"/>
      <c r="L1165" s="7">
        <v>15.8558</v>
      </c>
      <c r="M1165" s="7"/>
      <c r="N1165" s="7">
        <v>14.2114</v>
      </c>
      <c r="O1165" s="7">
        <v>11.1255</v>
      </c>
      <c r="P1165" s="68">
        <v>15.4135</v>
      </c>
      <c r="Q1165" s="7">
        <v>15.4135</v>
      </c>
      <c r="R1165" s="7">
        <v>15.4135</v>
      </c>
      <c r="S1165" s="8">
        <v>15.4135</v>
      </c>
    </row>
    <row r="1166" spans="1:19" s="12" customFormat="1" ht="16.5" customHeight="1">
      <c r="A1166" s="3"/>
      <c r="B1166" s="13" t="s">
        <v>265</v>
      </c>
      <c r="C1166" s="7">
        <v>12.2442</v>
      </c>
      <c r="D1166" s="7"/>
      <c r="E1166" s="7">
        <v>13.2401</v>
      </c>
      <c r="F1166" s="7">
        <v>14.3467</v>
      </c>
      <c r="G1166" s="7">
        <v>20.5436</v>
      </c>
      <c r="H1166" s="14">
        <v>12.8268</v>
      </c>
      <c r="I1166" s="7">
        <v>13.9867</v>
      </c>
      <c r="J1166" s="7">
        <v>14.1795</v>
      </c>
      <c r="K1166" s="7"/>
      <c r="L1166" s="7">
        <v>15.1587</v>
      </c>
      <c r="M1166" s="7"/>
      <c r="N1166" s="7">
        <v>13.2815</v>
      </c>
      <c r="O1166" s="7">
        <v>10.5888</v>
      </c>
      <c r="P1166" s="68">
        <v>15.3776</v>
      </c>
      <c r="Q1166" s="7">
        <v>15.3776</v>
      </c>
      <c r="R1166" s="7">
        <v>15.3776</v>
      </c>
      <c r="S1166" s="8">
        <v>15.3776</v>
      </c>
    </row>
    <row r="1167" spans="1:19" s="12" customFormat="1" ht="16.5" customHeight="1">
      <c r="A1167" s="3"/>
      <c r="B1167" s="13" t="s">
        <v>266</v>
      </c>
      <c r="C1167" s="7">
        <v>12.193</v>
      </c>
      <c r="D1167" s="7"/>
      <c r="E1167" s="7">
        <v>13.1935</v>
      </c>
      <c r="F1167" s="7">
        <v>14.3052</v>
      </c>
      <c r="G1167" s="7">
        <v>20.5308</v>
      </c>
      <c r="H1167" s="14">
        <v>12.7818</v>
      </c>
      <c r="I1167" s="7">
        <v>13.8286</v>
      </c>
      <c r="J1167" s="7">
        <v>14.0454</v>
      </c>
      <c r="K1167" s="7"/>
      <c r="L1167" s="7">
        <v>15.0657</v>
      </c>
      <c r="M1167" s="7"/>
      <c r="N1167" s="7">
        <v>13.1258</v>
      </c>
      <c r="O1167" s="7">
        <v>10.6412</v>
      </c>
      <c r="P1167" s="68">
        <v>15.3776</v>
      </c>
      <c r="Q1167" s="7">
        <v>15.3776</v>
      </c>
      <c r="R1167" s="7">
        <v>15.3776</v>
      </c>
      <c r="S1167" s="8">
        <v>15.3776</v>
      </c>
    </row>
    <row r="1168" spans="1:19" s="12" customFormat="1" ht="16.5" customHeight="1">
      <c r="A1168" s="3"/>
      <c r="B1168" s="4" t="s">
        <v>13</v>
      </c>
      <c r="C1168" s="11">
        <f>(C1162*2+C1163*7+C1164*7+C1165*7+C1166*7+C1167*1)/31</f>
        <v>13.055561290322581</v>
      </c>
      <c r="D1168" s="11"/>
      <c r="E1168" s="11">
        <f aca="true" t="shared" si="172" ref="E1168:S1168">(E1162*2+E1163*7+E1164*7+E1165*7+E1166*7+E1167*1)/31</f>
        <v>13.978445161290324</v>
      </c>
      <c r="F1168" s="11">
        <f t="shared" si="172"/>
        <v>15.003922580645161</v>
      </c>
      <c r="G1168" s="11">
        <f t="shared" si="172"/>
        <v>20.746416129032255</v>
      </c>
      <c r="H1168" s="11">
        <f t="shared" si="172"/>
        <v>13.56308387096774</v>
      </c>
      <c r="I1168" s="11">
        <f t="shared" si="172"/>
        <v>14.9905</v>
      </c>
      <c r="J1168" s="11">
        <f t="shared" si="172"/>
        <v>15.115193548387097</v>
      </c>
      <c r="K1168" s="11"/>
      <c r="L1168" s="11">
        <f t="shared" si="172"/>
        <v>15.89645806451613</v>
      </c>
      <c r="M1168" s="11"/>
      <c r="N1168" s="11">
        <f t="shared" si="172"/>
        <v>14.326432258064518</v>
      </c>
      <c r="O1168" s="38">
        <f t="shared" si="172"/>
        <v>11.620864516129034</v>
      </c>
      <c r="P1168" s="11">
        <f t="shared" si="172"/>
        <v>15.590219354838709</v>
      </c>
      <c r="Q1168" s="11">
        <f>(Q1162*2+Q1163*7+Q1164*7+Q1165*7+Q1166*7+Q1167*1)/31</f>
        <v>15.590219354838709</v>
      </c>
      <c r="R1168" s="48">
        <f t="shared" si="172"/>
        <v>15.590219354838709</v>
      </c>
      <c r="S1168" s="38">
        <f t="shared" si="172"/>
        <v>15.590219354838709</v>
      </c>
    </row>
    <row r="1169" spans="1:19" s="12" customFormat="1" ht="16.5" customHeight="1">
      <c r="A1169" s="20"/>
      <c r="B1169" s="19">
        <v>2019</v>
      </c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39"/>
      <c r="P1169" s="14"/>
      <c r="S1169" s="15"/>
    </row>
    <row r="1170" spans="1:19" s="12" customFormat="1" ht="16.5" customHeight="1">
      <c r="A1170" s="3"/>
      <c r="B1170" s="13" t="s">
        <v>212</v>
      </c>
      <c r="C1170" s="7">
        <v>12.2762</v>
      </c>
      <c r="D1170" s="7"/>
      <c r="E1170" s="7">
        <v>13.181</v>
      </c>
      <c r="F1170" s="7">
        <v>14.1864</v>
      </c>
      <c r="G1170" s="7">
        <v>19.8165</v>
      </c>
      <c r="H1170" s="14">
        <v>12.7712</v>
      </c>
      <c r="I1170" s="7">
        <v>13.7726</v>
      </c>
      <c r="J1170" s="7">
        <v>14.0557</v>
      </c>
      <c r="K1170" s="7"/>
      <c r="L1170" s="7">
        <v>15.0747</v>
      </c>
      <c r="M1170" s="7"/>
      <c r="N1170" s="7">
        <v>13.1386</v>
      </c>
      <c r="O1170" s="8">
        <v>10.5604</v>
      </c>
      <c r="P1170" s="7">
        <v>14.9381</v>
      </c>
      <c r="Q1170" s="7">
        <v>14.9381</v>
      </c>
      <c r="R1170" s="7">
        <v>14.9381</v>
      </c>
      <c r="S1170" s="8">
        <v>14.9381</v>
      </c>
    </row>
    <row r="1171" spans="1:19" s="12" customFormat="1" ht="16.5" customHeight="1">
      <c r="A1171" s="3"/>
      <c r="B1171" s="13" t="s">
        <v>267</v>
      </c>
      <c r="C1171" s="7">
        <v>13.0935</v>
      </c>
      <c r="D1171" s="7"/>
      <c r="E1171" s="7">
        <v>13.9248</v>
      </c>
      <c r="F1171" s="7">
        <v>14.8485</v>
      </c>
      <c r="G1171" s="7">
        <v>20.0209</v>
      </c>
      <c r="H1171" s="14">
        <v>13.5188</v>
      </c>
      <c r="I1171" s="7">
        <v>14.7152</v>
      </c>
      <c r="J1171" s="7">
        <v>15.1233</v>
      </c>
      <c r="K1171" s="7"/>
      <c r="L1171" s="7">
        <v>16.0038</v>
      </c>
      <c r="M1171" s="7"/>
      <c r="N1171" s="7">
        <v>14.2877</v>
      </c>
      <c r="O1171" s="8">
        <v>11.4415</v>
      </c>
      <c r="P1171" s="7">
        <v>14.7183</v>
      </c>
      <c r="Q1171" s="7">
        <v>14.7183</v>
      </c>
      <c r="R1171" s="7">
        <v>14.7183</v>
      </c>
      <c r="S1171" s="8">
        <v>14.7183</v>
      </c>
    </row>
    <row r="1172" spans="1:19" s="12" customFormat="1" ht="16.5" customHeight="1">
      <c r="A1172" s="3"/>
      <c r="B1172" s="13" t="s">
        <v>268</v>
      </c>
      <c r="C1172" s="7">
        <v>13.1863</v>
      </c>
      <c r="D1172" s="7"/>
      <c r="E1172" s="7">
        <v>14.0092</v>
      </c>
      <c r="F1172" s="7">
        <v>14.9236</v>
      </c>
      <c r="G1172" s="7">
        <v>20.0441</v>
      </c>
      <c r="H1172" s="14">
        <v>13.6063</v>
      </c>
      <c r="I1172" s="7">
        <v>14.9638</v>
      </c>
      <c r="J1172" s="7">
        <v>15.463</v>
      </c>
      <c r="K1172" s="7"/>
      <c r="L1172" s="7">
        <v>16.299</v>
      </c>
      <c r="M1172" s="7"/>
      <c r="N1172" s="7">
        <v>14.6551</v>
      </c>
      <c r="O1172" s="8">
        <v>11.6241</v>
      </c>
      <c r="P1172" s="7">
        <v>14.5652</v>
      </c>
      <c r="Q1172" s="7">
        <v>14.5652</v>
      </c>
      <c r="R1172" s="7">
        <v>14.5652</v>
      </c>
      <c r="S1172" s="8">
        <v>14.5652</v>
      </c>
    </row>
    <row r="1173" spans="1:19" s="12" customFormat="1" ht="16.5" customHeight="1">
      <c r="A1173" s="3"/>
      <c r="B1173" s="13" t="s">
        <v>269</v>
      </c>
      <c r="C1173" s="7">
        <v>13.0896</v>
      </c>
      <c r="D1173" s="7"/>
      <c r="E1173" s="7">
        <v>13.9212</v>
      </c>
      <c r="F1173" s="7">
        <v>14.8453</v>
      </c>
      <c r="G1173" s="7">
        <v>20.0199</v>
      </c>
      <c r="H1173" s="14">
        <v>13.5198</v>
      </c>
      <c r="I1173" s="7">
        <v>14.9304</v>
      </c>
      <c r="J1173" s="7">
        <v>15.493</v>
      </c>
      <c r="K1173" s="7"/>
      <c r="L1173" s="7">
        <v>16.2964</v>
      </c>
      <c r="M1173" s="7"/>
      <c r="N1173" s="7">
        <v>14.7051</v>
      </c>
      <c r="O1173" s="8">
        <v>11.9385</v>
      </c>
      <c r="P1173" s="7">
        <v>14.5397</v>
      </c>
      <c r="Q1173" s="7">
        <v>14.5397</v>
      </c>
      <c r="R1173" s="7">
        <v>14.5397</v>
      </c>
      <c r="S1173" s="8">
        <v>14.5397</v>
      </c>
    </row>
    <row r="1174" spans="1:19" s="12" customFormat="1" ht="16.5" customHeight="1">
      <c r="A1174" s="3"/>
      <c r="B1174" s="13" t="s">
        <v>103</v>
      </c>
      <c r="C1174" s="7">
        <v>12.6998</v>
      </c>
      <c r="D1174" s="7"/>
      <c r="E1174" s="7">
        <v>13.5665</v>
      </c>
      <c r="F1174" s="7">
        <v>14.5295</v>
      </c>
      <c r="G1174" s="7">
        <v>19.9224</v>
      </c>
      <c r="H1174" s="14">
        <v>13.1674</v>
      </c>
      <c r="I1174" s="7">
        <v>14.7018</v>
      </c>
      <c r="J1174" s="7">
        <v>15.2862</v>
      </c>
      <c r="K1174" s="7"/>
      <c r="L1174" s="7">
        <v>16.08</v>
      </c>
      <c r="M1174" s="7"/>
      <c r="N1174" s="7">
        <v>14.5053</v>
      </c>
      <c r="O1174" s="8">
        <v>11.8357</v>
      </c>
      <c r="P1174" s="7">
        <v>14.7826</v>
      </c>
      <c r="Q1174" s="7">
        <v>14.7826</v>
      </c>
      <c r="R1174" s="7">
        <v>14.7826</v>
      </c>
      <c r="S1174" s="8">
        <v>14.7826</v>
      </c>
    </row>
    <row r="1175" spans="1:19" s="12" customFormat="1" ht="16.5" customHeight="1">
      <c r="A1175" s="3"/>
      <c r="B1175" s="4" t="s">
        <v>13</v>
      </c>
      <c r="C1175" s="11">
        <f>(C1170*6+C1171*7+C1172*7+C1173*7+C1174*4)/31</f>
        <v>12.904587096774193</v>
      </c>
      <c r="D1175" s="11"/>
      <c r="E1175" s="11">
        <f aca="true" t="shared" si="173" ref="E1175:R1175">(E1170*6+E1171*7+E1172*7+E1173*7+E1174*4)/31</f>
        <v>13.752851612903227</v>
      </c>
      <c r="F1175" s="11">
        <f t="shared" si="173"/>
        <v>14.695425806451613</v>
      </c>
      <c r="G1175" s="11">
        <f t="shared" si="173"/>
        <v>19.973641935483872</v>
      </c>
      <c r="H1175" s="11">
        <f t="shared" si="173"/>
        <v>13.348745161290323</v>
      </c>
      <c r="I1175" s="11">
        <f t="shared" si="173"/>
        <v>14.63576129032258</v>
      </c>
      <c r="J1175" s="11">
        <f t="shared" si="173"/>
        <v>15.097874193548385</v>
      </c>
      <c r="K1175" s="11"/>
      <c r="L1175" s="11">
        <f t="shared" si="173"/>
        <v>15.966535483870967</v>
      </c>
      <c r="M1175" s="11"/>
      <c r="N1175" s="11">
        <f t="shared" si="173"/>
        <v>14.270583870967743</v>
      </c>
      <c r="O1175" s="38">
        <f t="shared" si="173"/>
        <v>11.475287096774194</v>
      </c>
      <c r="P1175" s="11">
        <f t="shared" si="173"/>
        <v>14.69423870967742</v>
      </c>
      <c r="Q1175" s="11">
        <f t="shared" si="173"/>
        <v>14.69423870967742</v>
      </c>
      <c r="R1175" s="48">
        <f t="shared" si="173"/>
        <v>14.69423870967742</v>
      </c>
      <c r="S1175" s="38">
        <f>(S1170*6+S1171*7+S1172*7+S1173*7+S1174*4)/31</f>
        <v>14.69423870967742</v>
      </c>
    </row>
    <row r="1176" spans="1:19" s="12" customFormat="1" ht="16.5" customHeight="1">
      <c r="A1176" s="3"/>
      <c r="B1176" s="13" t="s">
        <v>221</v>
      </c>
      <c r="C1176" s="7">
        <v>12.7677</v>
      </c>
      <c r="D1176" s="7"/>
      <c r="E1176" s="7">
        <v>13.6283</v>
      </c>
      <c r="F1176" s="7">
        <v>14.5845</v>
      </c>
      <c r="G1176" s="7">
        <v>19.9391</v>
      </c>
      <c r="H1176" s="14">
        <v>13.2326</v>
      </c>
      <c r="I1176" s="7">
        <v>14.9734</v>
      </c>
      <c r="J1176" s="7">
        <v>15.3851</v>
      </c>
      <c r="K1176" s="7"/>
      <c r="L1176" s="7">
        <v>16.1659</v>
      </c>
      <c r="M1176" s="7"/>
      <c r="N1176" s="7">
        <v>14.6146</v>
      </c>
      <c r="O1176" s="8">
        <v>11.9899</v>
      </c>
      <c r="P1176" s="7">
        <v>14.8635</v>
      </c>
      <c r="Q1176" s="7">
        <v>14.8635</v>
      </c>
      <c r="R1176" s="7">
        <v>14.8635</v>
      </c>
      <c r="S1176" s="8">
        <v>14.8635</v>
      </c>
    </row>
    <row r="1177" spans="1:19" s="12" customFormat="1" ht="16.5" customHeight="1">
      <c r="A1177" s="3"/>
      <c r="B1177" s="13" t="s">
        <v>273</v>
      </c>
      <c r="C1177" s="7">
        <v>13.1376</v>
      </c>
      <c r="D1177" s="7"/>
      <c r="E1177" s="7">
        <v>13.9649</v>
      </c>
      <c r="F1177" s="7">
        <v>14.8842</v>
      </c>
      <c r="G1177" s="7">
        <v>20.0319</v>
      </c>
      <c r="H1177" s="14">
        <v>13.5689</v>
      </c>
      <c r="I1177" s="7">
        <v>15.1638</v>
      </c>
      <c r="J1177" s="7">
        <v>15.4673</v>
      </c>
      <c r="K1177" s="7"/>
      <c r="L1177" s="7">
        <v>16.2255</v>
      </c>
      <c r="M1177" s="7"/>
      <c r="N1177" s="7">
        <v>14.7091</v>
      </c>
      <c r="O1177" s="8">
        <v>12.1843</v>
      </c>
      <c r="P1177" s="7">
        <v>14.8635</v>
      </c>
      <c r="Q1177" s="7">
        <v>14.8635</v>
      </c>
      <c r="R1177" s="7">
        <v>14.8635</v>
      </c>
      <c r="S1177" s="8">
        <v>14.8635</v>
      </c>
    </row>
    <row r="1178" spans="1:19" s="12" customFormat="1" ht="16.5" customHeight="1">
      <c r="A1178" s="3"/>
      <c r="B1178" s="13" t="s">
        <v>274</v>
      </c>
      <c r="C1178" s="7">
        <v>13.3969</v>
      </c>
      <c r="D1178" s="7"/>
      <c r="E1178" s="7">
        <v>14.2008</v>
      </c>
      <c r="F1178" s="7">
        <v>15.0942</v>
      </c>
      <c r="G1178" s="7">
        <v>20.0967</v>
      </c>
      <c r="H1178" s="14">
        <v>13.8039</v>
      </c>
      <c r="I1178" s="7">
        <v>15.4134</v>
      </c>
      <c r="J1178" s="7">
        <v>15.8325</v>
      </c>
      <c r="K1178" s="7"/>
      <c r="L1178" s="7">
        <v>16.5404</v>
      </c>
      <c r="M1178" s="7"/>
      <c r="N1178" s="7">
        <v>15.0866</v>
      </c>
      <c r="O1178" s="8">
        <v>12.4989</v>
      </c>
      <c r="P1178" s="7">
        <v>14.8854</v>
      </c>
      <c r="Q1178" s="7">
        <v>14.8854</v>
      </c>
      <c r="R1178" s="7">
        <v>14.8854</v>
      </c>
      <c r="S1178" s="8">
        <v>14.8854</v>
      </c>
    </row>
    <row r="1179" spans="1:19" s="12" customFormat="1" ht="16.5" customHeight="1">
      <c r="A1179" s="3"/>
      <c r="B1179" s="13" t="s">
        <v>275</v>
      </c>
      <c r="C1179" s="7">
        <v>14.0831</v>
      </c>
      <c r="D1179" s="7"/>
      <c r="E1179" s="7">
        <v>14.8253</v>
      </c>
      <c r="F1179" s="7">
        <v>15.65</v>
      </c>
      <c r="G1179" s="7">
        <v>20.2683</v>
      </c>
      <c r="H1179" s="14">
        <v>14.43</v>
      </c>
      <c r="I1179" s="7">
        <v>16.0319</v>
      </c>
      <c r="J1179" s="7">
        <v>16.4798</v>
      </c>
      <c r="K1179" s="7"/>
      <c r="L1179" s="7">
        <v>17.0964</v>
      </c>
      <c r="M1179" s="7"/>
      <c r="N1179" s="7">
        <v>15.787</v>
      </c>
      <c r="O1179" s="8">
        <v>12.8545</v>
      </c>
      <c r="P1179" s="7">
        <v>14.8891</v>
      </c>
      <c r="Q1179" s="7">
        <v>14.8891</v>
      </c>
      <c r="R1179" s="7">
        <v>14.8891</v>
      </c>
      <c r="S1179" s="8">
        <v>14.8891</v>
      </c>
    </row>
    <row r="1180" spans="1:19" s="12" customFormat="1" ht="16.5" customHeight="1">
      <c r="A1180" s="3"/>
      <c r="B1180" s="13" t="s">
        <v>276</v>
      </c>
      <c r="C1180" s="7">
        <v>14.3008</v>
      </c>
      <c r="D1180" s="7"/>
      <c r="E1180" s="7">
        <v>15.0234</v>
      </c>
      <c r="F1180" s="7">
        <v>15.8263</v>
      </c>
      <c r="G1180" s="7">
        <v>20.3227</v>
      </c>
      <c r="H1180" s="14">
        <v>14.6267</v>
      </c>
      <c r="I1180" s="7">
        <v>16.0766</v>
      </c>
      <c r="J1180" s="7">
        <v>16.584</v>
      </c>
      <c r="K1180" s="7"/>
      <c r="L1180" s="7">
        <v>17.1202</v>
      </c>
      <c r="M1180" s="7"/>
      <c r="N1180" s="7">
        <v>15.935</v>
      </c>
      <c r="O1180" s="8">
        <v>12.7751</v>
      </c>
      <c r="P1180" s="7">
        <v>15.5544</v>
      </c>
      <c r="Q1180" s="7">
        <v>15.5544</v>
      </c>
      <c r="R1180" s="7">
        <v>15.5544</v>
      </c>
      <c r="S1180" s="8">
        <v>15.5544</v>
      </c>
    </row>
    <row r="1181" spans="1:19" s="12" customFormat="1" ht="16.5" customHeight="1">
      <c r="A1181" s="3"/>
      <c r="B1181" s="4" t="s">
        <v>13</v>
      </c>
      <c r="C1181" s="11">
        <f>(C1176*3+C1177*7+C1178*7+C1179*7+C1180*4)/28</f>
        <v>13.565339285714286</v>
      </c>
      <c r="D1181" s="11"/>
      <c r="E1181" s="11">
        <f>(E1176*3+E1177*7+E1178*7+E1179*7+E1180*4)/28</f>
        <v>14.354125</v>
      </c>
      <c r="F1181" s="11">
        <f aca="true" t="shared" si="174" ref="F1181:S1181">(F1176*3+F1177*7+F1178*7+F1179*7+F1180*4)/28</f>
        <v>15.230625000000002</v>
      </c>
      <c r="G1181" s="11">
        <f t="shared" si="174"/>
        <v>20.1388</v>
      </c>
      <c r="H1181" s="11">
        <f t="shared" si="174"/>
        <v>13.958007142857142</v>
      </c>
      <c r="I1181" s="11">
        <f t="shared" si="174"/>
        <v>15.553225</v>
      </c>
      <c r="J1181" s="11">
        <f t="shared" si="174"/>
        <v>15.962446428571429</v>
      </c>
      <c r="K1181" s="11"/>
      <c r="L1181" s="11">
        <f t="shared" si="174"/>
        <v>16.643378571428574</v>
      </c>
      <c r="M1181" s="11"/>
      <c r="N1181" s="11">
        <f t="shared" si="174"/>
        <v>15.237953571428573</v>
      </c>
      <c r="O1181" s="38">
        <f t="shared" si="174"/>
        <v>12.494071428571427</v>
      </c>
      <c r="P1181" s="11">
        <f t="shared" si="174"/>
        <v>14.974075</v>
      </c>
      <c r="Q1181" s="11">
        <f t="shared" si="174"/>
        <v>14.974075</v>
      </c>
      <c r="R1181" s="48">
        <f t="shared" si="174"/>
        <v>14.974075</v>
      </c>
      <c r="S1181" s="38">
        <f t="shared" si="174"/>
        <v>14.974075</v>
      </c>
    </row>
    <row r="1182" spans="1:19" s="12" customFormat="1" ht="16.5" customHeight="1">
      <c r="A1182" s="3"/>
      <c r="B1182" s="13" t="s">
        <v>54</v>
      </c>
      <c r="C1182" s="7">
        <v>14.5216</v>
      </c>
      <c r="D1182" s="7"/>
      <c r="E1182" s="7">
        <v>15.2244</v>
      </c>
      <c r="F1182" s="7">
        <v>16.0052</v>
      </c>
      <c r="G1182" s="7">
        <v>20.3779</v>
      </c>
      <c r="H1182" s="14">
        <v>14.8249</v>
      </c>
      <c r="I1182" s="7">
        <v>16.2209</v>
      </c>
      <c r="J1182" s="7">
        <v>16.7777</v>
      </c>
      <c r="K1182" s="7"/>
      <c r="L1182" s="7">
        <v>17.2886</v>
      </c>
      <c r="M1182" s="7"/>
      <c r="N1182" s="7">
        <v>16.1404</v>
      </c>
      <c r="O1182" s="8">
        <v>13.0548</v>
      </c>
      <c r="P1182" s="7">
        <v>15.7762</v>
      </c>
      <c r="Q1182" s="7">
        <v>15.7762</v>
      </c>
      <c r="R1182" s="7">
        <v>15.7762</v>
      </c>
      <c r="S1182" s="8">
        <v>15.7762</v>
      </c>
    </row>
    <row r="1183" spans="1:19" s="12" customFormat="1" ht="16.5" customHeight="1">
      <c r="A1183" s="3"/>
      <c r="B1183" s="13" t="s">
        <v>377</v>
      </c>
      <c r="C1183" s="7">
        <v>14.9681</v>
      </c>
      <c r="D1183" s="7"/>
      <c r="E1183" s="7">
        <v>15.6307</v>
      </c>
      <c r="F1183" s="7">
        <v>16.3668</v>
      </c>
      <c r="G1183" s="7">
        <v>20.4895</v>
      </c>
      <c r="H1183" s="14">
        <v>15.2274</v>
      </c>
      <c r="I1183" s="7">
        <v>16.3423</v>
      </c>
      <c r="J1183" s="7">
        <v>16.7726</v>
      </c>
      <c r="K1183" s="7"/>
      <c r="L1183" s="7">
        <v>17.1741</v>
      </c>
      <c r="M1183" s="7"/>
      <c r="N1183" s="7">
        <v>16.1874</v>
      </c>
      <c r="O1183" s="8">
        <v>13.3482</v>
      </c>
      <c r="P1183" s="7">
        <v>15.7762</v>
      </c>
      <c r="Q1183" s="7">
        <v>15.7762</v>
      </c>
      <c r="R1183" s="7">
        <v>15.7762</v>
      </c>
      <c r="S1183" s="8">
        <v>15.7762</v>
      </c>
    </row>
    <row r="1184" spans="1:19" s="12" customFormat="1" ht="16.5" customHeight="1">
      <c r="A1184" s="3"/>
      <c r="B1184" s="13" t="s">
        <v>378</v>
      </c>
      <c r="C1184" s="7">
        <v>15.5633</v>
      </c>
      <c r="D1184" s="7"/>
      <c r="E1184" s="7">
        <v>16.1723</v>
      </c>
      <c r="F1184" s="7">
        <v>16.849</v>
      </c>
      <c r="G1184" s="7">
        <v>20.6383</v>
      </c>
      <c r="H1184" s="14">
        <v>15.7701</v>
      </c>
      <c r="I1184" s="7">
        <v>16.3112</v>
      </c>
      <c r="J1184" s="7">
        <v>16.6585</v>
      </c>
      <c r="K1184" s="7"/>
      <c r="L1184" s="7">
        <v>17.0069</v>
      </c>
      <c r="M1184" s="7"/>
      <c r="N1184" s="7">
        <v>16.0969</v>
      </c>
      <c r="O1184" s="8">
        <v>13.3541</v>
      </c>
      <c r="P1184" s="7">
        <v>16.5052</v>
      </c>
      <c r="Q1184" s="7">
        <v>16.5052</v>
      </c>
      <c r="R1184" s="7">
        <v>16.5052</v>
      </c>
      <c r="S1184" s="8">
        <v>16.5052</v>
      </c>
    </row>
    <row r="1185" spans="1:19" s="12" customFormat="1" ht="16.5" customHeight="1">
      <c r="A1185" s="3"/>
      <c r="B1185" s="13" t="s">
        <v>379</v>
      </c>
      <c r="C1185" s="7">
        <v>15.9325</v>
      </c>
      <c r="D1185" s="7"/>
      <c r="E1185" s="7">
        <v>16.5083</v>
      </c>
      <c r="F1185" s="7">
        <v>17.148</v>
      </c>
      <c r="G1185" s="7">
        <v>20.7306</v>
      </c>
      <c r="H1185" s="14">
        <v>16.1062</v>
      </c>
      <c r="I1185" s="7">
        <v>16.3543</v>
      </c>
      <c r="J1185" s="7">
        <v>16.6593</v>
      </c>
      <c r="K1185" s="7"/>
      <c r="L1185" s="7">
        <v>17.0011</v>
      </c>
      <c r="M1185" s="7"/>
      <c r="N1185" s="7">
        <v>16.1016</v>
      </c>
      <c r="O1185" s="8">
        <v>13.2591</v>
      </c>
      <c r="P1185" s="7">
        <v>16.6267</v>
      </c>
      <c r="Q1185" s="7">
        <v>16.6267</v>
      </c>
      <c r="R1185" s="7">
        <v>16.6267</v>
      </c>
      <c r="S1185" s="8">
        <v>16.6267</v>
      </c>
    </row>
    <row r="1186" spans="1:19" s="12" customFormat="1" ht="16.5" customHeight="1">
      <c r="A1186" s="3"/>
      <c r="B1186" s="13" t="s">
        <v>380</v>
      </c>
      <c r="C1186" s="7">
        <v>15.9671</v>
      </c>
      <c r="D1186" s="7"/>
      <c r="E1186" s="7">
        <v>16.5398</v>
      </c>
      <c r="F1186" s="7">
        <v>17.1761</v>
      </c>
      <c r="G1186" s="7">
        <v>20.7393</v>
      </c>
      <c r="H1186" s="14">
        <v>16.1371</v>
      </c>
      <c r="I1186" s="7">
        <v>16.3001</v>
      </c>
      <c r="J1186" s="7">
        <v>16.5436</v>
      </c>
      <c r="K1186" s="7"/>
      <c r="L1186" s="7">
        <v>16.9188</v>
      </c>
      <c r="M1186" s="7"/>
      <c r="N1186" s="7">
        <v>15.9664</v>
      </c>
      <c r="O1186" s="8">
        <v>13.0504</v>
      </c>
      <c r="P1186" s="7">
        <v>17.2861</v>
      </c>
      <c r="Q1186" s="7">
        <v>17.2861</v>
      </c>
      <c r="R1186" s="7">
        <v>17.2861</v>
      </c>
      <c r="S1186" s="8">
        <v>17.2861</v>
      </c>
    </row>
    <row r="1187" spans="1:19" s="12" customFormat="1" ht="16.5" customHeight="1">
      <c r="A1187" s="3"/>
      <c r="B1187" s="4" t="s">
        <v>13</v>
      </c>
      <c r="C1187" s="11">
        <f>(C1182*3+C1183*7+C1184*7+C1185*7+C1186*7)/31</f>
        <v>15.502638709677418</v>
      </c>
      <c r="D1187" s="11"/>
      <c r="E1187" s="11">
        <f aca="true" t="shared" si="175" ref="E1187:S1187">(E1182*3+E1183*7+E1184*7+E1185*7+E1186*7)/31</f>
        <v>16.117125806451615</v>
      </c>
      <c r="F1187" s="11">
        <f t="shared" si="175"/>
        <v>16.799835483870968</v>
      </c>
      <c r="G1187" s="11">
        <f t="shared" si="175"/>
        <v>20.623148387096773</v>
      </c>
      <c r="H1187" s="11">
        <f t="shared" si="175"/>
        <v>15.714848387096774</v>
      </c>
      <c r="I1187" s="11">
        <f t="shared" si="175"/>
        <v>16.316709677419357</v>
      </c>
      <c r="J1187" s="11">
        <f t="shared" si="175"/>
        <v>16.67003548387097</v>
      </c>
      <c r="K1187" s="11"/>
      <c r="L1187" s="11">
        <f t="shared" si="175"/>
        <v>17.050712903225804</v>
      </c>
      <c r="M1187" s="11"/>
      <c r="N1187" s="11">
        <f t="shared" si="175"/>
        <v>16.09313870967742</v>
      </c>
      <c r="O1187" s="38">
        <f>(O1182*3+O1183*7+O1184*7+O1185*7+O1186*7)/31</f>
        <v>13.233774193548388</v>
      </c>
      <c r="P1187" s="11">
        <f t="shared" si="175"/>
        <v>16.4738064516129</v>
      </c>
      <c r="Q1187" s="11">
        <f t="shared" si="175"/>
        <v>16.4738064516129</v>
      </c>
      <c r="R1187" s="48">
        <f t="shared" si="175"/>
        <v>16.4738064516129</v>
      </c>
      <c r="S1187" s="38">
        <f t="shared" si="175"/>
        <v>16.4738064516129</v>
      </c>
    </row>
    <row r="1188" spans="1:19" s="12" customFormat="1" ht="16.5" customHeight="1">
      <c r="A1188" s="3"/>
      <c r="B1188" s="13" t="s">
        <v>226</v>
      </c>
      <c r="C1188" s="7">
        <v>16.1556</v>
      </c>
      <c r="D1188" s="7"/>
      <c r="E1188" s="7">
        <v>16.678</v>
      </c>
      <c r="F1188" s="7">
        <v>17.2584</v>
      </c>
      <c r="G1188" s="7">
        <v>20.5089</v>
      </c>
      <c r="H1188" s="14">
        <v>16.2749</v>
      </c>
      <c r="I1188" s="7">
        <v>16.4088</v>
      </c>
      <c r="J1188" s="7">
        <v>16.6733</v>
      </c>
      <c r="K1188" s="7"/>
      <c r="L1188" s="7">
        <v>17.0473</v>
      </c>
      <c r="M1188" s="7"/>
      <c r="N1188" s="7">
        <v>16.0967</v>
      </c>
      <c r="O1188" s="8">
        <v>13.1595</v>
      </c>
      <c r="P1188" s="7">
        <v>17.396</v>
      </c>
      <c r="Q1188" s="7">
        <v>17.396</v>
      </c>
      <c r="R1188" s="7">
        <v>17.396</v>
      </c>
      <c r="S1188" s="8">
        <v>17.396</v>
      </c>
    </row>
    <row r="1189" spans="1:19" s="12" customFormat="1" ht="16.5" customHeight="1">
      <c r="A1189" s="3"/>
      <c r="B1189" s="13" t="s">
        <v>381</v>
      </c>
      <c r="C1189" s="7">
        <v>16.7937</v>
      </c>
      <c r="D1189" s="7"/>
      <c r="E1189" s="7">
        <v>17.2586</v>
      </c>
      <c r="F1189" s="7">
        <v>17.7753</v>
      </c>
      <c r="G1189" s="7">
        <v>20.6684</v>
      </c>
      <c r="H1189" s="14">
        <v>16.8541</v>
      </c>
      <c r="I1189" s="7">
        <v>16.8082</v>
      </c>
      <c r="J1189" s="7">
        <v>17.0937</v>
      </c>
      <c r="K1189" s="7"/>
      <c r="L1189" s="7">
        <v>17.4061</v>
      </c>
      <c r="M1189" s="7"/>
      <c r="N1189" s="7">
        <v>16.5527</v>
      </c>
      <c r="O1189" s="8">
        <v>13.2368</v>
      </c>
      <c r="P1189" s="7">
        <v>17.6928</v>
      </c>
      <c r="Q1189" s="7">
        <v>17.6928</v>
      </c>
      <c r="R1189" s="7">
        <v>17.6928</v>
      </c>
      <c r="S1189" s="8">
        <v>17.6928</v>
      </c>
    </row>
    <row r="1190" spans="1:19" s="12" customFormat="1" ht="16.5" customHeight="1">
      <c r="A1190" s="3"/>
      <c r="B1190" s="13" t="s">
        <v>382</v>
      </c>
      <c r="C1190" s="7">
        <v>17.1192</v>
      </c>
      <c r="D1190" s="7"/>
      <c r="E1190" s="7">
        <v>17.5548</v>
      </c>
      <c r="F1190" s="7">
        <v>18.0389</v>
      </c>
      <c r="G1190" s="7">
        <v>20.7498</v>
      </c>
      <c r="H1190" s="14">
        <v>17.1496</v>
      </c>
      <c r="I1190" s="7">
        <v>16.9755</v>
      </c>
      <c r="J1190" s="7">
        <v>17.2439</v>
      </c>
      <c r="K1190" s="7"/>
      <c r="L1190" s="7">
        <v>17.555</v>
      </c>
      <c r="M1190" s="7"/>
      <c r="N1190" s="7">
        <v>16.7061</v>
      </c>
      <c r="O1190" s="8">
        <v>13.2602</v>
      </c>
      <c r="P1190" s="7">
        <v>17.8115</v>
      </c>
      <c r="Q1190" s="7">
        <v>17.8115</v>
      </c>
      <c r="R1190" s="7">
        <v>17.8115</v>
      </c>
      <c r="S1190" s="8">
        <v>17.8115</v>
      </c>
    </row>
    <row r="1191" spans="1:19" s="12" customFormat="1" ht="16.5" customHeight="1">
      <c r="A1191" s="3"/>
      <c r="B1191" s="13" t="s">
        <v>383</v>
      </c>
      <c r="C1191" s="7">
        <v>17.3585</v>
      </c>
      <c r="D1191" s="7"/>
      <c r="E1191" s="7">
        <v>17.7727</v>
      </c>
      <c r="F1191" s="7">
        <v>18.2328</v>
      </c>
      <c r="G1191" s="7">
        <v>20.8096</v>
      </c>
      <c r="H1191" s="14">
        <v>17.3655</v>
      </c>
      <c r="I1191" s="7">
        <v>17.3465</v>
      </c>
      <c r="J1191" s="7">
        <v>17.5653</v>
      </c>
      <c r="K1191" s="7"/>
      <c r="L1191" s="7">
        <v>17.8749</v>
      </c>
      <c r="M1191" s="7"/>
      <c r="N1191" s="7">
        <v>17.027</v>
      </c>
      <c r="O1191" s="8">
        <v>13.7894</v>
      </c>
      <c r="P1191" s="7">
        <v>18.1299</v>
      </c>
      <c r="Q1191" s="7">
        <v>18.1299</v>
      </c>
      <c r="R1191" s="7">
        <v>18.1299</v>
      </c>
      <c r="S1191" s="8">
        <v>18.1299</v>
      </c>
    </row>
    <row r="1192" spans="1:19" s="12" customFormat="1" ht="16.5" customHeight="1">
      <c r="A1192" s="3"/>
      <c r="B1192" s="13" t="s">
        <v>384</v>
      </c>
      <c r="C1192" s="7">
        <v>17.2412</v>
      </c>
      <c r="D1192" s="7"/>
      <c r="E1192" s="7">
        <v>17.6658</v>
      </c>
      <c r="F1192" s="7">
        <v>18.1377</v>
      </c>
      <c r="G1192" s="7">
        <v>20.7803</v>
      </c>
      <c r="H1192" s="14">
        <v>17.2588</v>
      </c>
      <c r="I1192" s="7">
        <v>17.2191</v>
      </c>
      <c r="J1192" s="7">
        <v>17.4137</v>
      </c>
      <c r="K1192" s="7"/>
      <c r="L1192" s="7">
        <v>17.8164</v>
      </c>
      <c r="M1192" s="7"/>
      <c r="N1192" s="7">
        <v>16.8232</v>
      </c>
      <c r="O1192" s="8">
        <v>13.879</v>
      </c>
      <c r="P1192" s="7">
        <v>18.183</v>
      </c>
      <c r="Q1192" s="7">
        <v>18.183</v>
      </c>
      <c r="R1192" s="7">
        <v>18.183</v>
      </c>
      <c r="S1192" s="8">
        <v>18.183</v>
      </c>
    </row>
    <row r="1193" spans="1:19" s="12" customFormat="1" ht="16.5" customHeight="1">
      <c r="A1193" s="3"/>
      <c r="B1193" s="4" t="s">
        <v>13</v>
      </c>
      <c r="C1193" s="11">
        <f>(C1188*7+C1189*7+C1190*7+C1191*7+C1192*2)/30</f>
        <v>16.88238</v>
      </c>
      <c r="D1193" s="11"/>
      <c r="E1193" s="11">
        <f aca="true" t="shared" si="176" ref="E1193:S1193">(E1188*7+E1189*7+E1190*7+E1191*7+E1192*2)/30</f>
        <v>17.339343333333332</v>
      </c>
      <c r="F1193" s="11">
        <f t="shared" si="176"/>
        <v>17.84710666666667</v>
      </c>
      <c r="G1193" s="11">
        <f t="shared" si="176"/>
        <v>20.690583333333333</v>
      </c>
      <c r="H1193" s="11">
        <f t="shared" si="176"/>
        <v>16.93421</v>
      </c>
      <c r="I1193" s="11">
        <f t="shared" si="176"/>
        <v>16.907040000000002</v>
      </c>
      <c r="J1193" s="11">
        <f t="shared" si="176"/>
        <v>17.16202666666667</v>
      </c>
      <c r="K1193" s="11"/>
      <c r="L1193" s="11">
        <f t="shared" si="176"/>
        <v>17.49386333333333</v>
      </c>
      <c r="M1193" s="11"/>
      <c r="N1193" s="11">
        <f t="shared" si="176"/>
        <v>16.610796666666666</v>
      </c>
      <c r="O1193" s="38">
        <f t="shared" si="176"/>
        <v>13.395976666666666</v>
      </c>
      <c r="P1193" s="11">
        <f t="shared" si="176"/>
        <v>17.785913333333333</v>
      </c>
      <c r="Q1193" s="11">
        <f t="shared" si="176"/>
        <v>17.785913333333333</v>
      </c>
      <c r="R1193" s="48">
        <f t="shared" si="176"/>
        <v>17.785913333333333</v>
      </c>
      <c r="S1193" s="38">
        <f t="shared" si="176"/>
        <v>17.785913333333333</v>
      </c>
    </row>
    <row r="1194" spans="1:19" s="12" customFormat="1" ht="16.5" customHeight="1">
      <c r="A1194" s="3"/>
      <c r="B1194" s="13" t="s">
        <v>230</v>
      </c>
      <c r="C1194" s="7">
        <v>16.902</v>
      </c>
      <c r="D1194" s="7"/>
      <c r="E1194" s="7">
        <v>17.3572</v>
      </c>
      <c r="F1194" s="7">
        <v>17.863</v>
      </c>
      <c r="G1194" s="7">
        <v>20.6955</v>
      </c>
      <c r="H1194" s="14">
        <v>16.9502</v>
      </c>
      <c r="I1194" s="7">
        <v>17.026</v>
      </c>
      <c r="J1194" s="7">
        <v>17.306</v>
      </c>
      <c r="K1194" s="7"/>
      <c r="L1194" s="7">
        <v>17.7228</v>
      </c>
      <c r="M1194" s="7"/>
      <c r="N1194" s="7">
        <v>16.6758</v>
      </c>
      <c r="O1194" s="8">
        <v>13.6409</v>
      </c>
      <c r="P1194" s="68">
        <v>18.183</v>
      </c>
      <c r="Q1194" s="7">
        <v>18.183</v>
      </c>
      <c r="R1194" s="7">
        <v>18.183</v>
      </c>
      <c r="S1194" s="8">
        <v>18.183</v>
      </c>
    </row>
    <row r="1195" spans="1:19" s="12" customFormat="1" ht="16.5" customHeight="1">
      <c r="A1195" s="3"/>
      <c r="B1195" s="13" t="s">
        <v>385</v>
      </c>
      <c r="C1195" s="7">
        <v>16.0678</v>
      </c>
      <c r="D1195" s="7"/>
      <c r="E1195" s="7">
        <v>16.5981</v>
      </c>
      <c r="F1195" s="7">
        <v>17.1873</v>
      </c>
      <c r="G1195" s="7">
        <v>20.487</v>
      </c>
      <c r="H1195" s="14">
        <v>16.1926</v>
      </c>
      <c r="I1195" s="7">
        <v>16.778</v>
      </c>
      <c r="J1195" s="7">
        <v>17.1941</v>
      </c>
      <c r="K1195" s="7"/>
      <c r="L1195" s="7">
        <v>17.6112</v>
      </c>
      <c r="M1195" s="7"/>
      <c r="N1195" s="7">
        <v>16.5241</v>
      </c>
      <c r="O1195" s="8">
        <v>13.1878</v>
      </c>
      <c r="P1195" s="68">
        <v>18.4008</v>
      </c>
      <c r="Q1195" s="7">
        <v>18.4008</v>
      </c>
      <c r="R1195" s="7">
        <v>18.4008</v>
      </c>
      <c r="S1195" s="8">
        <v>18.4008</v>
      </c>
    </row>
    <row r="1196" spans="1:19" s="12" customFormat="1" ht="16.5" customHeight="1">
      <c r="A1196" s="3"/>
      <c r="B1196" s="13" t="s">
        <v>386</v>
      </c>
      <c r="C1196" s="7">
        <v>16.211</v>
      </c>
      <c r="D1196" s="7"/>
      <c r="E1196" s="7">
        <v>16.7284</v>
      </c>
      <c r="F1196" s="7">
        <v>17.3033</v>
      </c>
      <c r="G1196" s="7">
        <v>20.5227</v>
      </c>
      <c r="H1196" s="14">
        <v>16.3262</v>
      </c>
      <c r="I1196" s="7">
        <v>16.8706</v>
      </c>
      <c r="J1196" s="7">
        <v>17.2938</v>
      </c>
      <c r="K1196" s="7"/>
      <c r="L1196" s="7">
        <v>17.6991</v>
      </c>
      <c r="M1196" s="7"/>
      <c r="N1196" s="7">
        <v>16.6008</v>
      </c>
      <c r="O1196" s="8">
        <v>12.9346</v>
      </c>
      <c r="P1196" s="68">
        <v>18.4879</v>
      </c>
      <c r="Q1196" s="7">
        <v>18.4879</v>
      </c>
      <c r="R1196" s="7">
        <v>18.4879</v>
      </c>
      <c r="S1196" s="8">
        <v>18.4879</v>
      </c>
    </row>
    <row r="1197" spans="1:19" s="12" customFormat="1" ht="16.5" customHeight="1">
      <c r="A1197" s="3"/>
      <c r="B1197" s="13" t="s">
        <v>387</v>
      </c>
      <c r="C1197" s="7">
        <v>16.4183</v>
      </c>
      <c r="D1197" s="7"/>
      <c r="E1197" s="7">
        <v>16.917</v>
      </c>
      <c r="F1197" s="7">
        <v>17.4712</v>
      </c>
      <c r="G1197" s="7">
        <v>20.5746</v>
      </c>
      <c r="H1197" s="14">
        <v>16.5114</v>
      </c>
      <c r="I1197" s="7">
        <v>16.9948</v>
      </c>
      <c r="J1197" s="7">
        <v>17.4368</v>
      </c>
      <c r="K1197" s="7"/>
      <c r="L1197" s="7">
        <v>17.8679</v>
      </c>
      <c r="M1197" s="7"/>
      <c r="N1197" s="7">
        <v>16.7202</v>
      </c>
      <c r="O1197" s="8">
        <v>13.1158</v>
      </c>
      <c r="P1197" s="68">
        <v>16.9548</v>
      </c>
      <c r="Q1197" s="7">
        <v>16.9548</v>
      </c>
      <c r="R1197" s="7">
        <v>16.9548</v>
      </c>
      <c r="S1197" s="8">
        <v>16.9548</v>
      </c>
    </row>
    <row r="1198" spans="1:19" s="12" customFormat="1" ht="16.5" customHeight="1">
      <c r="A1198" s="3"/>
      <c r="B1198" s="13" t="s">
        <v>388</v>
      </c>
      <c r="C1198" s="7">
        <v>15.5477</v>
      </c>
      <c r="D1198" s="7"/>
      <c r="E1198" s="7">
        <v>16.1248</v>
      </c>
      <c r="F1198" s="7">
        <v>16.766</v>
      </c>
      <c r="G1198" s="7">
        <v>20.3569</v>
      </c>
      <c r="H1198" s="14">
        <v>15.72</v>
      </c>
      <c r="I1198" s="7">
        <v>16.3308</v>
      </c>
      <c r="J1198" s="7">
        <v>16.8698</v>
      </c>
      <c r="K1198" s="7"/>
      <c r="L1198" s="7">
        <v>17.4549</v>
      </c>
      <c r="M1198" s="7"/>
      <c r="N1198" s="7">
        <v>16.0703</v>
      </c>
      <c r="O1198" s="8">
        <v>12.6199</v>
      </c>
      <c r="P1198" s="68">
        <v>16.3416</v>
      </c>
      <c r="Q1198" s="7">
        <v>16.3416</v>
      </c>
      <c r="R1198" s="7">
        <v>16.3416</v>
      </c>
      <c r="S1198" s="8">
        <v>16.3416</v>
      </c>
    </row>
    <row r="1199" spans="1:19" s="12" customFormat="1" ht="16.5" customHeight="1">
      <c r="A1199" s="3"/>
      <c r="B1199" s="4" t="s">
        <v>13</v>
      </c>
      <c r="C1199" s="11">
        <f>(C1194*5+C1195*7+C1196*7+C1197*7+C1198*5)/31</f>
        <v>16.22994193548387</v>
      </c>
      <c r="D1199" s="11"/>
      <c r="E1199" s="11">
        <f aca="true" t="shared" si="177" ref="E1199:S1199">(E1194*5+E1195*7+E1196*7+E1197*7+E1198*5)/31</f>
        <v>16.745629032258066</v>
      </c>
      <c r="F1199" s="11">
        <f t="shared" si="177"/>
        <v>17.31863225806452</v>
      </c>
      <c r="G1199" s="11">
        <f t="shared" si="177"/>
        <v>20.52748709677419</v>
      </c>
      <c r="H1199" s="11">
        <f t="shared" si="177"/>
        <v>16.340722580645163</v>
      </c>
      <c r="I1199" s="11">
        <f t="shared" si="177"/>
        <v>16.81573548387097</v>
      </c>
      <c r="J1199" s="11">
        <f t="shared" si="177"/>
        <v>17.23715806451613</v>
      </c>
      <c r="K1199" s="11"/>
      <c r="L1199" s="11">
        <f t="shared" si="177"/>
        <v>17.68180322580645</v>
      </c>
      <c r="M1199" s="11"/>
      <c r="N1199" s="11">
        <f t="shared" si="177"/>
        <v>16.536974193548385</v>
      </c>
      <c r="O1199" s="38">
        <f t="shared" si="177"/>
        <v>13.095851612903225</v>
      </c>
      <c r="P1199" s="11">
        <f>(P1194*5+P1195*7+P1196*7+P1197*7+P1198*5)/31</f>
        <v>17.726693548387093</v>
      </c>
      <c r="Q1199" s="11">
        <f t="shared" si="177"/>
        <v>17.726693548387093</v>
      </c>
      <c r="R1199" s="48">
        <f t="shared" si="177"/>
        <v>17.726693548387093</v>
      </c>
      <c r="S1199" s="38">
        <f t="shared" si="177"/>
        <v>17.726693548387093</v>
      </c>
    </row>
    <row r="1200" spans="1:19" s="12" customFormat="1" ht="16.5" customHeight="1">
      <c r="A1200" s="3"/>
      <c r="B1200" s="13" t="s">
        <v>233</v>
      </c>
      <c r="C1200" s="7">
        <v>15.0301</v>
      </c>
      <c r="D1200" s="7"/>
      <c r="E1200" s="7">
        <v>15.6538</v>
      </c>
      <c r="F1200" s="7">
        <v>16.3468</v>
      </c>
      <c r="G1200" s="7">
        <v>20.2275</v>
      </c>
      <c r="H1200" s="14">
        <v>15.2498</v>
      </c>
      <c r="I1200" s="7">
        <v>16.0986</v>
      </c>
      <c r="J1200" s="7">
        <v>16.5742</v>
      </c>
      <c r="K1200" s="7">
        <v>16.6867</v>
      </c>
      <c r="L1200" s="7">
        <v>17.198</v>
      </c>
      <c r="M1200" s="7"/>
      <c r="N1200" s="7">
        <v>15.742</v>
      </c>
      <c r="O1200" s="8">
        <v>12.4825</v>
      </c>
      <c r="P1200" s="68">
        <v>16.3416</v>
      </c>
      <c r="Q1200" s="7">
        <v>16.3416</v>
      </c>
      <c r="R1200" s="7">
        <v>16.3416</v>
      </c>
      <c r="S1200" s="8">
        <v>16.3416</v>
      </c>
    </row>
    <row r="1201" spans="1:19" s="12" customFormat="1" ht="16.5" customHeight="1">
      <c r="A1201" s="3"/>
      <c r="B1201" s="13" t="s">
        <v>389</v>
      </c>
      <c r="C1201" s="7">
        <v>13.8344</v>
      </c>
      <c r="D1201" s="7"/>
      <c r="E1201" s="7">
        <v>14.5657</v>
      </c>
      <c r="F1201" s="7">
        <v>15.3783</v>
      </c>
      <c r="G1201" s="7">
        <v>19.9286</v>
      </c>
      <c r="H1201" s="14">
        <v>14.1658</v>
      </c>
      <c r="I1201" s="7">
        <v>14.9257</v>
      </c>
      <c r="J1201" s="7">
        <v>15.4641</v>
      </c>
      <c r="K1201" s="7">
        <v>15.6068</v>
      </c>
      <c r="L1201" s="7">
        <v>16.2555</v>
      </c>
      <c r="M1201" s="7"/>
      <c r="N1201" s="7">
        <v>14.5451</v>
      </c>
      <c r="O1201" s="8">
        <v>11.7734</v>
      </c>
      <c r="P1201" s="68">
        <v>15.4665</v>
      </c>
      <c r="Q1201" s="7">
        <v>15.4665</v>
      </c>
      <c r="R1201" s="7">
        <v>15.4665</v>
      </c>
      <c r="S1201" s="8">
        <v>15.4665</v>
      </c>
    </row>
    <row r="1202" spans="1:19" s="12" customFormat="1" ht="16.5" customHeight="1">
      <c r="A1202" s="3"/>
      <c r="B1202" s="13" t="s">
        <v>129</v>
      </c>
      <c r="C1202" s="7">
        <v>13.804</v>
      </c>
      <c r="D1202" s="7"/>
      <c r="E1202" s="7">
        <v>14.538</v>
      </c>
      <c r="F1202" s="7">
        <v>15.3536</v>
      </c>
      <c r="G1202" s="7">
        <v>19.921</v>
      </c>
      <c r="H1202" s="14">
        <v>14.1409</v>
      </c>
      <c r="I1202" s="7">
        <v>14.7295</v>
      </c>
      <c r="J1202" s="7">
        <v>15.296</v>
      </c>
      <c r="K1202" s="7">
        <v>15.4608</v>
      </c>
      <c r="L1202" s="7">
        <v>16.2102</v>
      </c>
      <c r="M1202" s="7"/>
      <c r="N1202" s="7">
        <v>14.3129</v>
      </c>
      <c r="O1202" s="8">
        <v>11.5701</v>
      </c>
      <c r="P1202" s="68">
        <v>15.1165</v>
      </c>
      <c r="Q1202" s="7">
        <v>15.1165</v>
      </c>
      <c r="R1202" s="7">
        <v>15.1165</v>
      </c>
      <c r="S1202" s="8">
        <v>15.1165</v>
      </c>
    </row>
    <row r="1203" spans="1:19" s="12" customFormat="1" ht="16.5" customHeight="1">
      <c r="A1203" s="3"/>
      <c r="B1203" s="13" t="s">
        <v>390</v>
      </c>
      <c r="C1203" s="7">
        <v>13.7681</v>
      </c>
      <c r="D1203" s="7"/>
      <c r="E1203" s="7">
        <v>14.5054</v>
      </c>
      <c r="F1203" s="7">
        <v>15.3246</v>
      </c>
      <c r="G1203" s="7">
        <v>19.912</v>
      </c>
      <c r="H1203" s="14">
        <v>14.1101</v>
      </c>
      <c r="I1203" s="7">
        <v>14.8958</v>
      </c>
      <c r="J1203" s="7">
        <v>15.5234</v>
      </c>
      <c r="K1203" s="7">
        <v>15.7084</v>
      </c>
      <c r="L1203" s="7">
        <v>16.5492</v>
      </c>
      <c r="M1203" s="7"/>
      <c r="N1203" s="7">
        <v>14.4569</v>
      </c>
      <c r="O1203" s="8">
        <v>11.3978</v>
      </c>
      <c r="P1203" s="68">
        <v>13.1707</v>
      </c>
      <c r="Q1203" s="7">
        <v>13.1707</v>
      </c>
      <c r="R1203" s="7">
        <v>13.1707</v>
      </c>
      <c r="S1203" s="8">
        <v>13.1707</v>
      </c>
    </row>
    <row r="1204" spans="1:19" s="12" customFormat="1" ht="16.5" customHeight="1">
      <c r="A1204" s="3"/>
      <c r="B1204" s="13" t="s">
        <v>391</v>
      </c>
      <c r="C1204" s="7">
        <v>14.3869</v>
      </c>
      <c r="D1204" s="7"/>
      <c r="E1204" s="7">
        <v>15.0684</v>
      </c>
      <c r="F1204" s="7">
        <v>15.8258</v>
      </c>
      <c r="G1204" s="7">
        <v>20.0667</v>
      </c>
      <c r="H1204" s="14">
        <v>14.6776</v>
      </c>
      <c r="I1204" s="7">
        <v>15.4079</v>
      </c>
      <c r="J1204" s="7">
        <v>16.075</v>
      </c>
      <c r="K1204" s="7">
        <v>16.2824</v>
      </c>
      <c r="L1204" s="7">
        <v>17.225</v>
      </c>
      <c r="M1204" s="7"/>
      <c r="N1204" s="7">
        <v>14.9473</v>
      </c>
      <c r="O1204" s="8">
        <v>11.9681</v>
      </c>
      <c r="P1204" s="68">
        <v>12.8464</v>
      </c>
      <c r="Q1204" s="7">
        <v>12.8464</v>
      </c>
      <c r="R1204" s="7">
        <v>12.8464</v>
      </c>
      <c r="S1204" s="8">
        <v>12.8464</v>
      </c>
    </row>
    <row r="1205" spans="1:19" s="12" customFormat="1" ht="16.5" customHeight="1">
      <c r="A1205" s="3"/>
      <c r="B1205" s="4" t="s">
        <v>13</v>
      </c>
      <c r="C1205" s="11">
        <f>(C1200*2+C1201*7+C1202*7+C1203*7+C1204*7)/30</f>
        <v>14.020466666666668</v>
      </c>
      <c r="D1205" s="11"/>
      <c r="E1205" s="11">
        <f aca="true" t="shared" si="178" ref="E1205:S1205">(E1200*2+E1201*7+E1202*7+E1203*7+E1204*7)/30</f>
        <v>14.735003333333335</v>
      </c>
      <c r="F1205" s="11">
        <f t="shared" si="178"/>
        <v>15.52899</v>
      </c>
      <c r="G1205" s="11">
        <f t="shared" si="178"/>
        <v>19.975103333333333</v>
      </c>
      <c r="H1205" s="11">
        <f t="shared" si="178"/>
        <v>14.33868</v>
      </c>
      <c r="I1205" s="11">
        <f t="shared" si="178"/>
        <v>15.063649999999999</v>
      </c>
      <c r="J1205" s="11">
        <f t="shared" si="178"/>
        <v>15.655263333333332</v>
      </c>
      <c r="K1205" s="11">
        <f>(K1200*2+K1201*7+K1202*7+K1203*7+K1204*7)/30</f>
        <v>15.826073333333333</v>
      </c>
      <c r="L1205" s="11">
        <f>(L1200*2+L1201*7+L1202*7+L1203*7+L1204*7)/30</f>
        <v>16.602510000000002</v>
      </c>
      <c r="M1205" s="11"/>
      <c r="N1205" s="11">
        <f t="shared" si="178"/>
        <v>14.64398</v>
      </c>
      <c r="O1205" s="38">
        <f t="shared" si="178"/>
        <v>11.731026666666668</v>
      </c>
      <c r="P1205" s="11">
        <f t="shared" si="178"/>
        <v>14.296130000000002</v>
      </c>
      <c r="Q1205" s="11">
        <f>(Q1200*2+Q1201*7+Q1202*7+Q1203*7+Q1204*7)/30</f>
        <v>14.296130000000002</v>
      </c>
      <c r="R1205" s="48">
        <f t="shared" si="178"/>
        <v>14.296130000000002</v>
      </c>
      <c r="S1205" s="38">
        <f t="shared" si="178"/>
        <v>14.296130000000002</v>
      </c>
    </row>
    <row r="1206" spans="1:19" s="12" customFormat="1" ht="16.5" customHeight="1">
      <c r="A1206" s="3"/>
      <c r="B1206" s="13" t="s">
        <v>238</v>
      </c>
      <c r="C1206" s="7">
        <v>14.5621</v>
      </c>
      <c r="D1206" s="7"/>
      <c r="E1206" s="7">
        <v>15.2279</v>
      </c>
      <c r="F1206" s="7">
        <v>15.9677</v>
      </c>
      <c r="G1206" s="7">
        <v>20.1105</v>
      </c>
      <c r="H1206" s="14">
        <v>14.8384</v>
      </c>
      <c r="I1206" s="7">
        <v>15.3049</v>
      </c>
      <c r="J1206" s="7">
        <v>15.9929</v>
      </c>
      <c r="K1206" s="7">
        <v>16.2275</v>
      </c>
      <c r="L1206" s="7">
        <v>17.2937</v>
      </c>
      <c r="M1206" s="7"/>
      <c r="N1206" s="7">
        <v>14.817</v>
      </c>
      <c r="O1206" s="8">
        <v>12.2979</v>
      </c>
      <c r="P1206" s="68">
        <v>12.9718</v>
      </c>
      <c r="Q1206" s="7">
        <v>12.9718</v>
      </c>
      <c r="R1206" s="7">
        <v>12.9718</v>
      </c>
      <c r="S1206" s="8">
        <v>12.9718</v>
      </c>
    </row>
    <row r="1207" spans="1:19" s="12" customFormat="1" ht="16.5" customHeight="1">
      <c r="A1207" s="3"/>
      <c r="B1207" s="13" t="s">
        <v>392</v>
      </c>
      <c r="C1207" s="7">
        <v>15.239</v>
      </c>
      <c r="D1207" s="7"/>
      <c r="E1207" s="7">
        <v>15.8439</v>
      </c>
      <c r="F1207" s="7">
        <v>16.516</v>
      </c>
      <c r="G1207" s="7">
        <v>20.2798</v>
      </c>
      <c r="H1207" s="14">
        <v>15.4541</v>
      </c>
      <c r="I1207" s="7">
        <v>15.5908</v>
      </c>
      <c r="J1207" s="7">
        <v>16.2112</v>
      </c>
      <c r="K1207" s="7">
        <v>16.4302</v>
      </c>
      <c r="L1207" s="7">
        <v>17.4258</v>
      </c>
      <c r="M1207" s="7"/>
      <c r="N1207" s="7">
        <v>15.1119</v>
      </c>
      <c r="O1207" s="8">
        <v>13.224</v>
      </c>
      <c r="P1207" s="68">
        <v>12.9927</v>
      </c>
      <c r="Q1207" s="7">
        <v>12.9927</v>
      </c>
      <c r="R1207" s="7">
        <v>12.9927</v>
      </c>
      <c r="S1207" s="8">
        <v>12.9927</v>
      </c>
    </row>
    <row r="1208" spans="1:19" s="12" customFormat="1" ht="16.5" customHeight="1">
      <c r="A1208" s="3"/>
      <c r="B1208" s="13" t="s">
        <v>393</v>
      </c>
      <c r="C1208" s="7">
        <v>15.4267</v>
      </c>
      <c r="D1208" s="7"/>
      <c r="E1208" s="7">
        <v>16.0147</v>
      </c>
      <c r="F1208" s="7">
        <v>16.668</v>
      </c>
      <c r="G1208" s="7">
        <v>20.3267</v>
      </c>
      <c r="H1208" s="14">
        <v>15.6235</v>
      </c>
      <c r="I1208" s="7">
        <v>15.6715</v>
      </c>
      <c r="J1208" s="7">
        <v>16.2358</v>
      </c>
      <c r="K1208" s="7">
        <v>16.4073</v>
      </c>
      <c r="L1208" s="7">
        <v>17.1867</v>
      </c>
      <c r="M1208" s="7"/>
      <c r="N1208" s="7">
        <v>15.2499</v>
      </c>
      <c r="O1208" s="8">
        <v>13.1183</v>
      </c>
      <c r="P1208" s="68">
        <v>13.2811</v>
      </c>
      <c r="Q1208" s="7">
        <v>13.2811</v>
      </c>
      <c r="R1208" s="7">
        <v>13.2811</v>
      </c>
      <c r="S1208" s="8">
        <v>13.2811</v>
      </c>
    </row>
    <row r="1209" spans="1:19" s="12" customFormat="1" ht="16.5" customHeight="1">
      <c r="A1209" s="3"/>
      <c r="B1209" s="13" t="s">
        <v>394</v>
      </c>
      <c r="C1209" s="7">
        <v>14.7785</v>
      </c>
      <c r="D1209" s="7"/>
      <c r="E1209" s="7">
        <v>15.4249</v>
      </c>
      <c r="F1209" s="7">
        <v>16.143</v>
      </c>
      <c r="G1209" s="7">
        <v>20.1646</v>
      </c>
      <c r="H1209" s="14">
        <v>15.0335</v>
      </c>
      <c r="I1209" s="7">
        <v>15.574</v>
      </c>
      <c r="J1209" s="7">
        <v>15.9995</v>
      </c>
      <c r="K1209" s="7">
        <v>16.1222</v>
      </c>
      <c r="L1209" s="7">
        <v>16.6802</v>
      </c>
      <c r="M1209" s="7"/>
      <c r="N1209" s="7">
        <v>15.1434</v>
      </c>
      <c r="O1209" s="8">
        <v>12.7873</v>
      </c>
      <c r="P1209" s="68">
        <v>13.3292</v>
      </c>
      <c r="Q1209" s="7">
        <v>13.3292</v>
      </c>
      <c r="R1209" s="7">
        <v>13.3292</v>
      </c>
      <c r="S1209" s="8">
        <v>13.3292</v>
      </c>
    </row>
    <row r="1210" spans="1:19" s="12" customFormat="1" ht="16.5" customHeight="1">
      <c r="A1210" s="3"/>
      <c r="B1210" s="13" t="s">
        <v>395</v>
      </c>
      <c r="C1210" s="7">
        <v>14.7307</v>
      </c>
      <c r="D1210" s="7"/>
      <c r="E1210" s="7">
        <v>15.3813</v>
      </c>
      <c r="F1210" s="7">
        <v>16.1043</v>
      </c>
      <c r="G1210" s="7">
        <v>20.1527</v>
      </c>
      <c r="H1210" s="14">
        <v>14.9895</v>
      </c>
      <c r="I1210" s="7">
        <v>15.6481</v>
      </c>
      <c r="J1210" s="7">
        <v>15.9871</v>
      </c>
      <c r="K1210" s="7">
        <v>16.0927</v>
      </c>
      <c r="L1210" s="7">
        <v>16.5726</v>
      </c>
      <c r="M1210" s="7"/>
      <c r="N1210" s="7">
        <v>15.1756</v>
      </c>
      <c r="O1210" s="8">
        <v>12.7952</v>
      </c>
      <c r="P1210" s="68">
        <v>13.1922</v>
      </c>
      <c r="Q1210" s="7">
        <v>13.1922</v>
      </c>
      <c r="R1210" s="7">
        <v>13.1922</v>
      </c>
      <c r="S1210" s="8">
        <v>13.1922</v>
      </c>
    </row>
    <row r="1211" spans="1:19" s="12" customFormat="1" ht="16.5" customHeight="1">
      <c r="A1211" s="3"/>
      <c r="B1211" s="4" t="s">
        <v>13</v>
      </c>
      <c r="C1211" s="11">
        <f>(C1206*7+C1207*7+C1208*7+C1209*7+C1210*3)/31</f>
        <v>14.97536129032258</v>
      </c>
      <c r="D1211" s="11"/>
      <c r="E1211" s="11">
        <f aca="true" t="shared" si="179" ref="E1211:S1211">(E1206*7+E1207*7+E1208*7+E1209*7+E1210*3)/31</f>
        <v>15.603990322580646</v>
      </c>
      <c r="F1211" s="11">
        <f t="shared" si="179"/>
        <v>16.302445161290322</v>
      </c>
      <c r="G1211" s="11">
        <f t="shared" si="179"/>
        <v>20.213848387096775</v>
      </c>
      <c r="H1211" s="11">
        <f t="shared" si="179"/>
        <v>15.213387096774195</v>
      </c>
      <c r="I1211" s="11">
        <f t="shared" si="179"/>
        <v>15.54621612903226</v>
      </c>
      <c r="J1211" s="11">
        <f t="shared" si="179"/>
        <v>16.097970967741933</v>
      </c>
      <c r="K1211" s="11">
        <f>(K1206*7+K1207*7+K1208*7+K1209*7+K1210*3)/31</f>
        <v>16.277048387096777</v>
      </c>
      <c r="L1211" s="11">
        <f t="shared" si="179"/>
        <v>17.091051612903225</v>
      </c>
      <c r="M1211" s="11"/>
      <c r="N1211" s="11">
        <f t="shared" si="179"/>
        <v>15.089748387096774</v>
      </c>
      <c r="O1211" s="38">
        <f t="shared" si="179"/>
        <v>12.850906451612904</v>
      </c>
      <c r="P1211" s="11">
        <f t="shared" si="179"/>
        <v>13.148393548387096</v>
      </c>
      <c r="Q1211" s="11">
        <f t="shared" si="179"/>
        <v>13.148393548387096</v>
      </c>
      <c r="R1211" s="48">
        <f>(R1206*7+R1207*7+R1208*7+R1209*7+R1210*3)/31</f>
        <v>13.148393548387096</v>
      </c>
      <c r="S1211" s="38">
        <f t="shared" si="179"/>
        <v>13.148393548387096</v>
      </c>
    </row>
    <row r="1212" spans="1:19" s="12" customFormat="1" ht="16.5" customHeight="1">
      <c r="A1212" s="3"/>
      <c r="B1212" s="13" t="s">
        <v>244</v>
      </c>
      <c r="C1212" s="7">
        <v>14.6968</v>
      </c>
      <c r="D1212" s="7"/>
      <c r="E1212" s="7">
        <v>15.3504</v>
      </c>
      <c r="F1212" s="7">
        <v>16.0768</v>
      </c>
      <c r="G1212" s="7">
        <v>20.1442</v>
      </c>
      <c r="H1212" s="14">
        <v>14.9596</v>
      </c>
      <c r="I1212" s="7">
        <v>15.7407</v>
      </c>
      <c r="J1212" s="7">
        <v>16.0954</v>
      </c>
      <c r="K1212" s="7">
        <v>16.1985</v>
      </c>
      <c r="L1212" s="7">
        <v>16.6668</v>
      </c>
      <c r="M1212" s="7"/>
      <c r="N1212" s="7">
        <v>15.2893</v>
      </c>
      <c r="O1212" s="8">
        <v>12.874</v>
      </c>
      <c r="P1212" s="68">
        <v>12.9181</v>
      </c>
      <c r="Q1212" s="7">
        <v>12.9181</v>
      </c>
      <c r="R1212" s="7">
        <v>12.9181</v>
      </c>
      <c r="S1212" s="8">
        <v>12.9181</v>
      </c>
    </row>
    <row r="1213" spans="1:19" s="12" customFormat="1" ht="16.5" customHeight="1">
      <c r="A1213" s="3"/>
      <c r="B1213" s="13" t="s">
        <v>396</v>
      </c>
      <c r="C1213" s="7">
        <v>14.1928</v>
      </c>
      <c r="D1213" s="7"/>
      <c r="E1213" s="7">
        <v>14.8919</v>
      </c>
      <c r="F1213" s="7">
        <v>15.6686</v>
      </c>
      <c r="G1213" s="7">
        <v>20.0182</v>
      </c>
      <c r="H1213" s="14">
        <v>14.5019</v>
      </c>
      <c r="I1213" s="7">
        <v>14.6943</v>
      </c>
      <c r="J1213" s="7">
        <v>15.2168</v>
      </c>
      <c r="K1213" s="7">
        <v>15.3566</v>
      </c>
      <c r="L1213" s="7">
        <v>15.9921</v>
      </c>
      <c r="M1213" s="7"/>
      <c r="N1213" s="7">
        <v>14.3123</v>
      </c>
      <c r="O1213" s="8">
        <v>10.8021</v>
      </c>
      <c r="P1213" s="68">
        <v>12.9181</v>
      </c>
      <c r="Q1213" s="7">
        <v>12.9181</v>
      </c>
      <c r="R1213" s="7">
        <v>12.9181</v>
      </c>
      <c r="S1213" s="8">
        <v>12.9181</v>
      </c>
    </row>
    <row r="1214" spans="1:19" s="12" customFormat="1" ht="16.5" customHeight="1">
      <c r="A1214" s="3"/>
      <c r="B1214" s="13" t="s">
        <v>397</v>
      </c>
      <c r="C1214" s="7">
        <v>14.306</v>
      </c>
      <c r="D1214" s="7"/>
      <c r="E1214" s="7">
        <v>14.9948</v>
      </c>
      <c r="F1214" s="7">
        <v>15.7602</v>
      </c>
      <c r="G1214" s="7">
        <v>20.0465</v>
      </c>
      <c r="H1214" s="14">
        <v>14.6043</v>
      </c>
      <c r="I1214" s="7">
        <v>14.6573</v>
      </c>
      <c r="J1214" s="7">
        <v>15.2044</v>
      </c>
      <c r="K1214" s="7">
        <v>15.3289</v>
      </c>
      <c r="L1214" s="7">
        <v>15.8949</v>
      </c>
      <c r="M1214" s="7"/>
      <c r="N1214" s="7">
        <v>14.3225</v>
      </c>
      <c r="O1214" s="8">
        <v>9.7364</v>
      </c>
      <c r="P1214" s="68">
        <v>12.8367</v>
      </c>
      <c r="Q1214" s="7">
        <v>12.8367</v>
      </c>
      <c r="R1214" s="7">
        <v>12.8367</v>
      </c>
      <c r="S1214" s="8">
        <v>12.8367</v>
      </c>
    </row>
    <row r="1215" spans="1:19" s="12" customFormat="1" ht="16.5" customHeight="1">
      <c r="A1215" s="3"/>
      <c r="B1215" s="13" t="s">
        <v>398</v>
      </c>
      <c r="C1215" s="7">
        <v>14.3356</v>
      </c>
      <c r="D1215" s="7"/>
      <c r="E1215" s="7">
        <v>15.0218</v>
      </c>
      <c r="F1215" s="7">
        <v>15.7842</v>
      </c>
      <c r="G1215" s="7">
        <v>20.0539</v>
      </c>
      <c r="H1215" s="14">
        <v>14.6308</v>
      </c>
      <c r="I1215" s="7">
        <v>14.8462</v>
      </c>
      <c r="J1215" s="7">
        <v>15.2997</v>
      </c>
      <c r="K1215" s="7">
        <v>15.4234</v>
      </c>
      <c r="L1215" s="7">
        <v>15.9856</v>
      </c>
      <c r="M1215" s="7"/>
      <c r="N1215" s="7">
        <v>14.3645</v>
      </c>
      <c r="O1215" s="8">
        <v>10.0938</v>
      </c>
      <c r="P1215" s="68">
        <v>12.8041</v>
      </c>
      <c r="Q1215" s="7">
        <v>12.8041</v>
      </c>
      <c r="R1215" s="7">
        <v>12.8041</v>
      </c>
      <c r="S1215" s="8">
        <v>12.8041</v>
      </c>
    </row>
    <row r="1216" spans="1:19" s="12" customFormat="1" ht="16.5" customHeight="1">
      <c r="A1216" s="3"/>
      <c r="B1216" s="13" t="s">
        <v>399</v>
      </c>
      <c r="C1216" s="7">
        <v>14.1506</v>
      </c>
      <c r="D1216" s="7"/>
      <c r="E1216" s="7">
        <v>14.8535</v>
      </c>
      <c r="F1216" s="7">
        <v>15.6344</v>
      </c>
      <c r="G1216" s="7">
        <v>20.0077</v>
      </c>
      <c r="H1216" s="14">
        <v>14.4646</v>
      </c>
      <c r="I1216" s="7">
        <v>14.6764</v>
      </c>
      <c r="J1216" s="7">
        <v>15.1623</v>
      </c>
      <c r="K1216" s="7">
        <v>15.3048</v>
      </c>
      <c r="L1216" s="7">
        <v>15.9526</v>
      </c>
      <c r="M1216" s="7"/>
      <c r="N1216" s="7">
        <v>14.1888</v>
      </c>
      <c r="O1216" s="8">
        <v>10.7758</v>
      </c>
      <c r="P1216" s="68">
        <v>12.118</v>
      </c>
      <c r="Q1216" s="7">
        <v>12.118</v>
      </c>
      <c r="R1216" s="7">
        <v>12.118</v>
      </c>
      <c r="S1216" s="8">
        <v>12.118</v>
      </c>
    </row>
    <row r="1217" spans="1:19" s="12" customFormat="1" ht="16.5" customHeight="1">
      <c r="A1217" s="3"/>
      <c r="B1217" s="4" t="s">
        <v>13</v>
      </c>
      <c r="C1217" s="11">
        <f>(C1212*4+C1213*7+C1214*7+C1215*7+C1216*6)/31</f>
        <v>14.307470967741937</v>
      </c>
      <c r="D1217" s="11"/>
      <c r="E1217" s="11">
        <f aca="true" t="shared" si="180" ref="E1217:S1217">(E1212*4+E1213*7+E1214*7+E1215*7+E1216*6)/31</f>
        <v>14.99619677419355</v>
      </c>
      <c r="F1217" s="11">
        <f t="shared" si="180"/>
        <v>15.761438709677417</v>
      </c>
      <c r="G1217" s="11">
        <f t="shared" si="180"/>
        <v>20.04687741935484</v>
      </c>
      <c r="H1217" s="11">
        <f t="shared" si="180"/>
        <v>14.605967741935483</v>
      </c>
      <c r="I1217" s="11">
        <f t="shared" si="180"/>
        <v>14.8518</v>
      </c>
      <c r="J1217" s="11">
        <f t="shared" si="180"/>
        <v>15.335538709677419</v>
      </c>
      <c r="K1217" s="11">
        <f>(K1212*4+K1213*7+K1214*7+K1215*7+K1216*6)/31</f>
        <v>15.464035483870967</v>
      </c>
      <c r="L1217" s="11">
        <f t="shared" si="180"/>
        <v>16.04809677419355</v>
      </c>
      <c r="M1217" s="11"/>
      <c r="N1217" s="11">
        <f t="shared" si="180"/>
        <v>14.428551612903224</v>
      </c>
      <c r="O1217" s="38">
        <f t="shared" si="180"/>
        <v>10.663770967741936</v>
      </c>
      <c r="P1217" s="11">
        <f t="shared" si="180"/>
        <v>12.719119354838709</v>
      </c>
      <c r="Q1217" s="11">
        <f t="shared" si="180"/>
        <v>12.719119354838709</v>
      </c>
      <c r="R1217" s="48">
        <f t="shared" si="180"/>
        <v>12.719119354838709</v>
      </c>
      <c r="S1217" s="38">
        <f t="shared" si="180"/>
        <v>12.719119354838709</v>
      </c>
    </row>
    <row r="1218" spans="1:19" s="12" customFormat="1" ht="16.5" customHeight="1">
      <c r="A1218" s="3"/>
      <c r="B1218" s="13" t="s">
        <v>27</v>
      </c>
      <c r="C1218" s="7">
        <v>14.3513</v>
      </c>
      <c r="D1218" s="7"/>
      <c r="E1218" s="7">
        <v>15.0361</v>
      </c>
      <c r="F1218" s="7">
        <v>15.797</v>
      </c>
      <c r="G1218" s="7">
        <v>20.0578</v>
      </c>
      <c r="H1218" s="14">
        <v>14.6472</v>
      </c>
      <c r="I1218" s="7">
        <v>14.8835</v>
      </c>
      <c r="J1218" s="7">
        <v>15.3899</v>
      </c>
      <c r="K1218" s="7">
        <v>15.5271</v>
      </c>
      <c r="L1218" s="7">
        <v>16.1505</v>
      </c>
      <c r="M1218" s="7"/>
      <c r="N1218" s="7">
        <v>14.4331</v>
      </c>
      <c r="O1218" s="8">
        <v>10.8548</v>
      </c>
      <c r="P1218" s="68">
        <v>11.9808</v>
      </c>
      <c r="Q1218" s="7">
        <v>11.9808</v>
      </c>
      <c r="R1218" s="7">
        <v>11.9808</v>
      </c>
      <c r="S1218" s="8">
        <v>11.9808</v>
      </c>
    </row>
    <row r="1219" spans="1:19" s="12" customFormat="1" ht="16.5" customHeight="1">
      <c r="A1219" s="3"/>
      <c r="B1219" s="13" t="s">
        <v>400</v>
      </c>
      <c r="C1219" s="7">
        <v>13.8767</v>
      </c>
      <c r="D1219" s="7"/>
      <c r="E1219" s="7">
        <v>14.6042</v>
      </c>
      <c r="F1219" s="7">
        <v>15.4125</v>
      </c>
      <c r="G1219" s="7">
        <v>19.9392</v>
      </c>
      <c r="H1219" s="14">
        <v>14.2159</v>
      </c>
      <c r="I1219" s="7">
        <v>14.6595</v>
      </c>
      <c r="J1219" s="7">
        <v>15.1572</v>
      </c>
      <c r="K1219" s="7">
        <v>15.2942</v>
      </c>
      <c r="L1219" s="7">
        <v>15.9168</v>
      </c>
      <c r="M1219" s="7"/>
      <c r="N1219" s="7">
        <v>14.221</v>
      </c>
      <c r="O1219" s="8">
        <v>10.3663</v>
      </c>
      <c r="P1219" s="68">
        <v>11.9808</v>
      </c>
      <c r="Q1219" s="7">
        <v>11.9808</v>
      </c>
      <c r="R1219" s="7">
        <v>11.9808</v>
      </c>
      <c r="S1219" s="8">
        <v>11.9808</v>
      </c>
    </row>
    <row r="1220" spans="1:19" s="12" customFormat="1" ht="16.5" customHeight="1">
      <c r="A1220" s="3"/>
      <c r="B1220" s="13" t="s">
        <v>401</v>
      </c>
      <c r="C1220" s="7">
        <v>14.6371</v>
      </c>
      <c r="D1220" s="7"/>
      <c r="E1220" s="7">
        <v>15.2962</v>
      </c>
      <c r="F1220" s="7">
        <v>16.0285</v>
      </c>
      <c r="G1220" s="7">
        <v>20.1293</v>
      </c>
      <c r="H1220" s="14">
        <v>14.9079</v>
      </c>
      <c r="I1220" s="7">
        <v>15.1164</v>
      </c>
      <c r="J1220" s="7">
        <v>15.4587</v>
      </c>
      <c r="K1220" s="7">
        <v>15.5777</v>
      </c>
      <c r="L1220" s="7">
        <v>16.1186</v>
      </c>
      <c r="M1220" s="7"/>
      <c r="N1220" s="7">
        <v>14.6012</v>
      </c>
      <c r="O1220" s="8">
        <v>11.287</v>
      </c>
      <c r="P1220" s="68">
        <v>12.4896</v>
      </c>
      <c r="Q1220" s="7">
        <v>12.4896</v>
      </c>
      <c r="R1220" s="7">
        <v>12.4896</v>
      </c>
      <c r="S1220" s="8">
        <v>12.4896</v>
      </c>
    </row>
    <row r="1221" spans="1:19" s="12" customFormat="1" ht="16.5" customHeight="1">
      <c r="A1221" s="3"/>
      <c r="B1221" s="13" t="s">
        <v>402</v>
      </c>
      <c r="C1221" s="7">
        <v>15.9317</v>
      </c>
      <c r="D1221" s="7"/>
      <c r="E1221" s="7">
        <v>16.4742</v>
      </c>
      <c r="F1221" s="7">
        <v>17.0771</v>
      </c>
      <c r="G1221" s="7">
        <v>20.4529</v>
      </c>
      <c r="H1221" s="14">
        <v>16.0858</v>
      </c>
      <c r="I1221" s="7">
        <v>15.7523</v>
      </c>
      <c r="J1221" s="7">
        <v>16.0053</v>
      </c>
      <c r="K1221" s="7">
        <v>16.119</v>
      </c>
      <c r="L1221" s="7">
        <v>16.6356</v>
      </c>
      <c r="M1221" s="7"/>
      <c r="N1221" s="7">
        <v>15.1852</v>
      </c>
      <c r="O1221" s="8">
        <v>13.4231</v>
      </c>
      <c r="P1221" s="68">
        <v>12.5744</v>
      </c>
      <c r="Q1221" s="7">
        <v>12.5744</v>
      </c>
      <c r="R1221" s="7">
        <v>12.5744</v>
      </c>
      <c r="S1221" s="8">
        <v>12.5744</v>
      </c>
    </row>
    <row r="1222" spans="1:19" s="12" customFormat="1" ht="16.5" customHeight="1">
      <c r="A1222" s="3"/>
      <c r="B1222" s="13" t="s">
        <v>403</v>
      </c>
      <c r="C1222" s="7">
        <v>15.5952</v>
      </c>
      <c r="D1222" s="7"/>
      <c r="E1222" s="7">
        <v>16.168</v>
      </c>
      <c r="F1222" s="7">
        <v>16.8045</v>
      </c>
      <c r="G1222" s="7">
        <v>20.3688</v>
      </c>
      <c r="H1222" s="14">
        <v>15.7793</v>
      </c>
      <c r="I1222" s="7">
        <v>15.5909</v>
      </c>
      <c r="J1222" s="7">
        <v>15.9589</v>
      </c>
      <c r="K1222" s="7">
        <v>16.0746</v>
      </c>
      <c r="L1222" s="7">
        <v>16.6005</v>
      </c>
      <c r="M1222" s="7"/>
      <c r="N1222" s="7">
        <v>15.1098</v>
      </c>
      <c r="O1222" s="8">
        <v>12.3417</v>
      </c>
      <c r="P1222" s="68">
        <v>13.712</v>
      </c>
      <c r="Q1222" s="7">
        <v>13.712</v>
      </c>
      <c r="R1222" s="7">
        <v>13.712</v>
      </c>
      <c r="S1222" s="8">
        <v>13.712</v>
      </c>
    </row>
    <row r="1223" spans="1:19" s="12" customFormat="1" ht="16.5" customHeight="1">
      <c r="A1223" s="3"/>
      <c r="B1223" s="13" t="s">
        <v>404</v>
      </c>
      <c r="C1223" s="7">
        <v>14.9493</v>
      </c>
      <c r="D1223" s="7"/>
      <c r="E1223" s="7">
        <v>15.5803</v>
      </c>
      <c r="F1223" s="7">
        <v>16.2813</v>
      </c>
      <c r="G1223" s="7">
        <v>20.2073</v>
      </c>
      <c r="H1223" s="14">
        <v>15.1907</v>
      </c>
      <c r="I1223" s="7">
        <v>15.5185</v>
      </c>
      <c r="J1223" s="7">
        <v>15.8647</v>
      </c>
      <c r="K1223" s="7">
        <v>15.9711</v>
      </c>
      <c r="L1223" s="7">
        <v>16.4545</v>
      </c>
      <c r="M1223" s="7"/>
      <c r="N1223" s="7">
        <v>15.0539</v>
      </c>
      <c r="O1223" s="8">
        <v>11.9646</v>
      </c>
      <c r="P1223" s="68">
        <v>13.9016</v>
      </c>
      <c r="Q1223" s="7">
        <v>13.9016</v>
      </c>
      <c r="R1223" s="7">
        <v>13.9016</v>
      </c>
      <c r="S1223" s="8">
        <v>13.9016</v>
      </c>
    </row>
    <row r="1224" spans="1:19" s="12" customFormat="1" ht="16.5" customHeight="1">
      <c r="A1224" s="3"/>
      <c r="B1224" s="4" t="s">
        <v>13</v>
      </c>
      <c r="C1224" s="11">
        <f>(C1218*1+C1219*7+C1220*7+C1221*7+C1222*7+C1223*1)/30</f>
        <v>14.986183333333333</v>
      </c>
      <c r="D1224" s="11"/>
      <c r="E1224" s="11">
        <f aca="true" t="shared" si="181" ref="E1224:S1224">(E1218*1+E1219*7+E1220*7+E1221*7+E1222*7+E1223*1)/30</f>
        <v>15.613820000000002</v>
      </c>
      <c r="F1224" s="11">
        <f t="shared" si="181"/>
        <v>16.31121666666667</v>
      </c>
      <c r="G1224" s="11">
        <f t="shared" si="181"/>
        <v>20.21655</v>
      </c>
      <c r="H1224" s="11">
        <f t="shared" si="181"/>
        <v>15.225339999999997</v>
      </c>
      <c r="I1224" s="11">
        <f t="shared" si="181"/>
        <v>15.274523333333333</v>
      </c>
      <c r="J1224" s="11">
        <f t="shared" si="181"/>
        <v>15.643843333333333</v>
      </c>
      <c r="K1224" s="11">
        <f>(K1218*1+K1219*7+K1220*7+K1221*7+K1222*7+K1223*1)/30</f>
        <v>15.765223333333331</v>
      </c>
      <c r="L1224" s="11">
        <f t="shared" si="181"/>
        <v>16.316850000000002</v>
      </c>
      <c r="M1224" s="11"/>
      <c r="N1224" s="11">
        <f t="shared" si="181"/>
        <v>14.776913333333333</v>
      </c>
      <c r="O1224" s="38">
        <f t="shared" si="181"/>
        <v>11.824870000000002</v>
      </c>
      <c r="P1224" s="11">
        <f>(P1218*1+P1219*7+P1220*7+P1221*7+P1222*7+P1223*1)/30</f>
        <v>12.705999999999998</v>
      </c>
      <c r="Q1224" s="11">
        <f t="shared" si="181"/>
        <v>12.705999999999998</v>
      </c>
      <c r="R1224" s="48">
        <f t="shared" si="181"/>
        <v>12.705999999999998</v>
      </c>
      <c r="S1224" s="38">
        <f t="shared" si="181"/>
        <v>12.705999999999998</v>
      </c>
    </row>
    <row r="1225" spans="1:19" s="12" customFormat="1" ht="16.5" customHeight="1">
      <c r="A1225" s="3"/>
      <c r="B1225" s="13" t="s">
        <v>253</v>
      </c>
      <c r="C1225" s="7">
        <v>14.8078</v>
      </c>
      <c r="D1225" s="7"/>
      <c r="E1225" s="7">
        <v>15.4587</v>
      </c>
      <c r="F1225" s="7">
        <v>16.1819</v>
      </c>
      <c r="G1225" s="7">
        <v>20.232</v>
      </c>
      <c r="H1225" s="14">
        <v>15.0699</v>
      </c>
      <c r="I1225" s="7">
        <v>15.0385</v>
      </c>
      <c r="J1225" s="7">
        <v>15.4864</v>
      </c>
      <c r="K1225" s="7">
        <v>15.6017</v>
      </c>
      <c r="L1225" s="7">
        <v>16.1257</v>
      </c>
      <c r="M1225" s="7"/>
      <c r="N1225" s="7">
        <v>14.6031</v>
      </c>
      <c r="O1225" s="8">
        <v>10.0143</v>
      </c>
      <c r="P1225" s="68">
        <v>13.9016</v>
      </c>
      <c r="Q1225" s="7">
        <v>13.9016</v>
      </c>
      <c r="R1225" s="7">
        <v>13.9016</v>
      </c>
      <c r="S1225" s="8">
        <v>13.9016</v>
      </c>
    </row>
    <row r="1226" spans="1:19" s="12" customFormat="1" ht="16.5" customHeight="1">
      <c r="A1226" s="3"/>
      <c r="B1226" s="13" t="s">
        <v>405</v>
      </c>
      <c r="C1226" s="7">
        <v>15.3474</v>
      </c>
      <c r="D1226" s="7"/>
      <c r="E1226" s="7">
        <v>15.9497</v>
      </c>
      <c r="F1226" s="7">
        <v>16.619</v>
      </c>
      <c r="G1226" s="7">
        <v>20.3669</v>
      </c>
      <c r="H1226" s="14">
        <v>15.5626</v>
      </c>
      <c r="I1226" s="7">
        <v>14.7171</v>
      </c>
      <c r="J1226" s="7">
        <v>15.4151</v>
      </c>
      <c r="K1226" s="7">
        <v>15.5569</v>
      </c>
      <c r="L1226" s="7">
        <v>16.2012</v>
      </c>
      <c r="M1226" s="7"/>
      <c r="N1226" s="7">
        <v>14.375</v>
      </c>
      <c r="O1226" s="8">
        <v>8.6505</v>
      </c>
      <c r="P1226" s="68">
        <v>15.1399</v>
      </c>
      <c r="Q1226" s="7">
        <v>15.1399</v>
      </c>
      <c r="R1226" s="7">
        <v>15.1399</v>
      </c>
      <c r="S1226" s="8">
        <v>15.1399</v>
      </c>
    </row>
    <row r="1227" spans="1:19" s="12" customFormat="1" ht="16.5" customHeight="1">
      <c r="A1227" s="3"/>
      <c r="B1227" s="13" t="s">
        <v>406</v>
      </c>
      <c r="C1227" s="7">
        <v>15.0959</v>
      </c>
      <c r="D1227" s="7"/>
      <c r="E1227" s="7">
        <v>15.7209</v>
      </c>
      <c r="F1227" s="7">
        <v>16.4153</v>
      </c>
      <c r="G1227" s="7">
        <v>20.304</v>
      </c>
      <c r="H1227" s="14">
        <v>15.3337</v>
      </c>
      <c r="I1227" s="7">
        <v>14.7317</v>
      </c>
      <c r="J1227" s="7">
        <v>15.5584</v>
      </c>
      <c r="K1227" s="7">
        <v>15.7105</v>
      </c>
      <c r="L1227" s="7">
        <v>16.4016</v>
      </c>
      <c r="M1227" s="7"/>
      <c r="N1227" s="7">
        <v>14.4342</v>
      </c>
      <c r="O1227" s="8">
        <v>8.7517</v>
      </c>
      <c r="P1227" s="68">
        <v>15.3463</v>
      </c>
      <c r="Q1227" s="7">
        <v>15.3463</v>
      </c>
      <c r="R1227" s="7">
        <v>15.3463</v>
      </c>
      <c r="S1227" s="8">
        <v>15.3463</v>
      </c>
    </row>
    <row r="1228" spans="1:19" s="12" customFormat="1" ht="16.5" customHeight="1">
      <c r="A1228" s="3"/>
      <c r="B1228" s="13" t="s">
        <v>407</v>
      </c>
      <c r="C1228" s="7">
        <v>14.5255</v>
      </c>
      <c r="D1228" s="7"/>
      <c r="E1228" s="7">
        <v>15.2018</v>
      </c>
      <c r="F1228" s="7">
        <v>15.9533</v>
      </c>
      <c r="G1228" s="7">
        <v>20.1614</v>
      </c>
      <c r="H1228" s="14">
        <v>14.8161</v>
      </c>
      <c r="I1228" s="7">
        <v>14.7036</v>
      </c>
      <c r="J1228" s="7">
        <v>15.4505</v>
      </c>
      <c r="K1228" s="7">
        <v>15.5959</v>
      </c>
      <c r="L1228" s="7">
        <v>16.2568</v>
      </c>
      <c r="M1228" s="7"/>
      <c r="N1228" s="7">
        <v>14.4284</v>
      </c>
      <c r="O1228" s="8">
        <v>8.911</v>
      </c>
      <c r="P1228" s="68">
        <v>15.4486</v>
      </c>
      <c r="Q1228" s="7">
        <v>15.4486</v>
      </c>
      <c r="R1228" s="7">
        <v>15.4486</v>
      </c>
      <c r="S1228" s="8">
        <v>15.4486</v>
      </c>
    </row>
    <row r="1229" spans="1:19" s="12" customFormat="1" ht="16.5" customHeight="1">
      <c r="A1229" s="3"/>
      <c r="B1229" s="13" t="s">
        <v>408</v>
      </c>
      <c r="C1229" s="7">
        <v>14.3747</v>
      </c>
      <c r="D1229" s="7"/>
      <c r="E1229" s="7">
        <v>15.0646</v>
      </c>
      <c r="F1229" s="7">
        <v>15.8311</v>
      </c>
      <c r="G1229" s="7">
        <v>20.1237</v>
      </c>
      <c r="H1229" s="14">
        <v>14.6795</v>
      </c>
      <c r="I1229" s="7">
        <v>14.8954</v>
      </c>
      <c r="J1229" s="7">
        <v>15.5587</v>
      </c>
      <c r="K1229" s="7">
        <v>15.6933</v>
      </c>
      <c r="L1229" s="7">
        <v>16.305</v>
      </c>
      <c r="M1229" s="7"/>
      <c r="N1229" s="7">
        <v>14.6106</v>
      </c>
      <c r="O1229" s="8">
        <v>8.9547</v>
      </c>
      <c r="P1229" s="68">
        <v>15.4657</v>
      </c>
      <c r="Q1229" s="7">
        <v>15.4657</v>
      </c>
      <c r="R1229" s="7">
        <v>15.4657</v>
      </c>
      <c r="S1229" s="8">
        <v>15.4657</v>
      </c>
    </row>
    <row r="1230" spans="1:19" s="12" customFormat="1" ht="16.5" customHeight="1">
      <c r="A1230" s="3"/>
      <c r="B1230" s="4" t="s">
        <v>13</v>
      </c>
      <c r="C1230" s="11">
        <f>(C1225*6+C1226*7+C1227*7+C1228*7+C1229*4)/31</f>
        <v>14.875070967741935</v>
      </c>
      <c r="D1230" s="11"/>
      <c r="E1230" s="11">
        <f aca="true" t="shared" si="182" ref="E1230:R1230">(E1225*6+E1226*7+E1227*7+E1228*7+E1229*4)/31</f>
        <v>15.519916129032259</v>
      </c>
      <c r="F1230" s="11">
        <f t="shared" si="182"/>
        <v>16.23641935483871</v>
      </c>
      <c r="G1230" s="11">
        <f>(G1225*6+G1226*7+G1227*7+G1228*7+G1229*4)/31</f>
        <v>20.24880322580645</v>
      </c>
      <c r="H1230" s="11">
        <f t="shared" si="182"/>
        <v>15.133038709677418</v>
      </c>
      <c r="I1230" s="11">
        <f t="shared" si="182"/>
        <v>14.80256129032258</v>
      </c>
      <c r="J1230" s="11">
        <f t="shared" si="182"/>
        <v>15.48778064516129</v>
      </c>
      <c r="K1230" s="11">
        <f>(K1225*6+K1226*7+K1227*7+K1228*7+K1229*4)/31</f>
        <v>15.626661290322579</v>
      </c>
      <c r="L1230" s="11">
        <f t="shared" si="182"/>
        <v>16.257787096774194</v>
      </c>
      <c r="M1230" s="11"/>
      <c r="N1230" s="11">
        <f t="shared" si="182"/>
        <v>14.47497419354839</v>
      </c>
      <c r="O1230" s="38">
        <f t="shared" si="182"/>
        <v>9.035387096774192</v>
      </c>
      <c r="P1230" s="11">
        <f t="shared" si="182"/>
        <v>15.058580645161289</v>
      </c>
      <c r="Q1230" s="11">
        <f t="shared" si="182"/>
        <v>15.058580645161289</v>
      </c>
      <c r="R1230" s="48">
        <f t="shared" si="182"/>
        <v>15.058580645161289</v>
      </c>
      <c r="S1230" s="38">
        <f>(S1225*6+S1226*7+S1227*7+S1228*7+S1229*4)/31</f>
        <v>15.058580645161289</v>
      </c>
    </row>
    <row r="1231" spans="1:19" s="12" customFormat="1" ht="16.5" customHeight="1">
      <c r="A1231" s="3"/>
      <c r="B1231" s="13" t="s">
        <v>89</v>
      </c>
      <c r="C1231" s="7">
        <v>14.058</v>
      </c>
      <c r="D1231" s="7"/>
      <c r="E1231" s="7">
        <v>14.7764</v>
      </c>
      <c r="F1231" s="7">
        <v>15.5746</v>
      </c>
      <c r="G1231" s="7">
        <v>20.0445</v>
      </c>
      <c r="H1231" s="14">
        <v>14.3921</v>
      </c>
      <c r="I1231" s="7">
        <v>14.668</v>
      </c>
      <c r="J1231" s="7">
        <v>15.2601</v>
      </c>
      <c r="K1231" s="7">
        <v>15.4017</v>
      </c>
      <c r="L1231" s="7">
        <v>16.0455</v>
      </c>
      <c r="M1231" s="7"/>
      <c r="N1231" s="7">
        <v>14.3265</v>
      </c>
      <c r="O1231" s="8">
        <v>8.8766</v>
      </c>
      <c r="P1231" s="68">
        <v>15.4657</v>
      </c>
      <c r="Q1231" s="7">
        <v>15.4657</v>
      </c>
      <c r="R1231" s="7">
        <v>15.4657</v>
      </c>
      <c r="S1231" s="8">
        <v>15.4657</v>
      </c>
    </row>
    <row r="1232" spans="1:19" s="12" customFormat="1" ht="16.5" customHeight="1">
      <c r="A1232" s="3"/>
      <c r="B1232" s="13" t="s">
        <v>411</v>
      </c>
      <c r="C1232" s="7">
        <v>14.9677</v>
      </c>
      <c r="D1232" s="7"/>
      <c r="E1232" s="7">
        <v>15.6042</v>
      </c>
      <c r="F1232" s="7">
        <v>16.3115</v>
      </c>
      <c r="G1232" s="7">
        <v>20.2719</v>
      </c>
      <c r="H1232" s="14">
        <v>15.2184</v>
      </c>
      <c r="I1232" s="7">
        <v>14.7101</v>
      </c>
      <c r="J1232" s="7">
        <v>15.3986</v>
      </c>
      <c r="K1232" s="7">
        <v>15.5554</v>
      </c>
      <c r="L1232" s="7">
        <v>16.268</v>
      </c>
      <c r="M1232" s="7"/>
      <c r="N1232" s="7">
        <v>14.4203</v>
      </c>
      <c r="O1232" s="8">
        <v>8.5676</v>
      </c>
      <c r="P1232" s="68">
        <v>15.4292</v>
      </c>
      <c r="Q1232" s="7">
        <v>15.4292</v>
      </c>
      <c r="R1232" s="7">
        <v>15.4292</v>
      </c>
      <c r="S1232" s="8">
        <v>15.4292</v>
      </c>
    </row>
    <row r="1233" spans="1:19" s="12" customFormat="1" ht="16.5" customHeight="1">
      <c r="A1233" s="3"/>
      <c r="B1233" s="13" t="s">
        <v>412</v>
      </c>
      <c r="C1233" s="7">
        <v>15.5428</v>
      </c>
      <c r="D1233" s="7"/>
      <c r="E1233" s="7">
        <v>16.1276</v>
      </c>
      <c r="F1233" s="7">
        <v>16.7773</v>
      </c>
      <c r="G1233" s="7">
        <v>20.4157</v>
      </c>
      <c r="H1233" s="14">
        <v>15.7407</v>
      </c>
      <c r="I1233" s="7">
        <v>14.569</v>
      </c>
      <c r="J1233" s="7">
        <v>15.3178</v>
      </c>
      <c r="K1233" s="7">
        <v>15.5124</v>
      </c>
      <c r="L1233" s="7">
        <v>16.3967</v>
      </c>
      <c r="M1233" s="7"/>
      <c r="N1233" s="7">
        <v>14.2346</v>
      </c>
      <c r="O1233" s="8">
        <v>6.8879</v>
      </c>
      <c r="P1233" s="68">
        <v>15.4018</v>
      </c>
      <c r="Q1233" s="7">
        <v>15.4018</v>
      </c>
      <c r="R1233" s="7">
        <v>15.4018</v>
      </c>
      <c r="S1233" s="8">
        <v>15.4018</v>
      </c>
    </row>
    <row r="1234" spans="1:19" s="12" customFormat="1" ht="16.5" customHeight="1">
      <c r="A1234" s="3"/>
      <c r="B1234" s="13" t="s">
        <v>413</v>
      </c>
      <c r="C1234" s="7">
        <v>15.1708</v>
      </c>
      <c r="D1234" s="7"/>
      <c r="E1234" s="7">
        <v>15.789</v>
      </c>
      <c r="F1234" s="7">
        <v>16.4759</v>
      </c>
      <c r="G1234" s="7">
        <v>20.3227</v>
      </c>
      <c r="H1234" s="14">
        <v>15.4034</v>
      </c>
      <c r="I1234" s="7">
        <v>14.4561</v>
      </c>
      <c r="J1234" s="7">
        <v>15.2732</v>
      </c>
      <c r="K1234" s="7">
        <v>15.4967</v>
      </c>
      <c r="L1234" s="7">
        <v>16.5124</v>
      </c>
      <c r="M1234" s="7"/>
      <c r="N1234" s="7">
        <v>14.1424</v>
      </c>
      <c r="O1234" s="8">
        <v>6.7767</v>
      </c>
      <c r="P1234" s="68">
        <v>14.8633</v>
      </c>
      <c r="Q1234" s="7">
        <v>14.8633</v>
      </c>
      <c r="R1234" s="7">
        <v>14.8633</v>
      </c>
      <c r="S1234" s="8">
        <v>14.8633</v>
      </c>
    </row>
    <row r="1235" spans="1:19" s="12" customFormat="1" ht="16.5" customHeight="1">
      <c r="A1235" s="3"/>
      <c r="B1235" s="13" t="s">
        <v>414</v>
      </c>
      <c r="C1235" s="7">
        <v>15.0975</v>
      </c>
      <c r="D1235" s="7"/>
      <c r="E1235" s="7">
        <v>15.7223</v>
      </c>
      <c r="F1235" s="7">
        <v>16.4165</v>
      </c>
      <c r="G1235" s="7">
        <v>20.3044</v>
      </c>
      <c r="H1235" s="14">
        <v>15.3364</v>
      </c>
      <c r="I1235" s="7">
        <v>14.7165</v>
      </c>
      <c r="J1235" s="7">
        <v>15.7057</v>
      </c>
      <c r="K1235" s="7">
        <v>15.9763</v>
      </c>
      <c r="L1235" s="7">
        <v>17.2064</v>
      </c>
      <c r="M1235" s="7"/>
      <c r="N1235" s="7">
        <v>14.449</v>
      </c>
      <c r="O1235" s="8">
        <v>7.0238</v>
      </c>
      <c r="P1235" s="68">
        <v>14.7735</v>
      </c>
      <c r="Q1235" s="7">
        <v>14.7735</v>
      </c>
      <c r="R1235" s="7">
        <v>14.7735</v>
      </c>
      <c r="S1235" s="8">
        <v>14.7735</v>
      </c>
    </row>
    <row r="1236" spans="1:19" s="12" customFormat="1" ht="16.5" customHeight="1">
      <c r="A1236" s="3"/>
      <c r="B1236" s="4" t="s">
        <v>13</v>
      </c>
      <c r="C1236" s="11">
        <f>(C1231*3+C1232*7+C1233*7+C1234*7+C1235*6)/30</f>
        <v>15.08427</v>
      </c>
      <c r="D1236" s="11"/>
      <c r="E1236" s="11">
        <f aca="true" t="shared" si="183" ref="E1236:S1236">(E1231*3+E1232*7+E1233*7+E1234*7+E1235*6)/30</f>
        <v>15.710286666666669</v>
      </c>
      <c r="F1236" s="11">
        <f t="shared" si="183"/>
        <v>16.40585666666667</v>
      </c>
      <c r="G1236" s="11">
        <f t="shared" si="183"/>
        <v>20.301066666666667</v>
      </c>
      <c r="H1236" s="11">
        <f t="shared" si="183"/>
        <v>15.324406666666667</v>
      </c>
      <c r="I1236" s="11">
        <f t="shared" si="183"/>
        <v>14.61498</v>
      </c>
      <c r="J1236" s="11">
        <f t="shared" si="183"/>
        <v>15.398056666666665</v>
      </c>
      <c r="K1236" s="11">
        <f>(K1231*3+K1232*7+K1233*7+K1234*7+K1235*6)/30</f>
        <v>15.60048</v>
      </c>
      <c r="L1236" s="11">
        <f t="shared" si="183"/>
        <v>16.520486666666667</v>
      </c>
      <c r="M1236" s="11"/>
      <c r="N1236" s="11">
        <f t="shared" si="183"/>
        <v>14.308486666666669</v>
      </c>
      <c r="O1236" s="38">
        <f t="shared" si="183"/>
        <v>7.479933333333334</v>
      </c>
      <c r="P1236" s="11">
        <f t="shared" si="183"/>
        <v>15.163273333333334</v>
      </c>
      <c r="Q1236" s="11">
        <f t="shared" si="183"/>
        <v>15.163273333333334</v>
      </c>
      <c r="R1236" s="48">
        <f t="shared" si="183"/>
        <v>15.163273333333334</v>
      </c>
      <c r="S1236" s="38">
        <f t="shared" si="183"/>
        <v>15.163273333333334</v>
      </c>
    </row>
    <row r="1237" spans="1:19" s="12" customFormat="1" ht="16.5" customHeight="1">
      <c r="A1237" s="3"/>
      <c r="B1237" s="13" t="s">
        <v>40</v>
      </c>
      <c r="C1237" s="7">
        <v>15.15</v>
      </c>
      <c r="D1237" s="7"/>
      <c r="E1237" s="7">
        <v>15.7701</v>
      </c>
      <c r="F1237" s="7">
        <v>16.4591</v>
      </c>
      <c r="G1237" s="7">
        <v>20.3175</v>
      </c>
      <c r="H1237" s="14">
        <v>15.3842</v>
      </c>
      <c r="I1237" s="7">
        <v>14.8207</v>
      </c>
      <c r="J1237" s="7">
        <v>15.7799</v>
      </c>
      <c r="K1237" s="7">
        <v>16.0488</v>
      </c>
      <c r="L1237" s="7">
        <v>17.2709</v>
      </c>
      <c r="M1237" s="7"/>
      <c r="N1237" s="7">
        <v>14.5477</v>
      </c>
      <c r="O1237" s="8">
        <v>6.7809</v>
      </c>
      <c r="P1237" s="68">
        <v>14.7735</v>
      </c>
      <c r="Q1237" s="7">
        <v>14.7735</v>
      </c>
      <c r="R1237" s="7">
        <v>14.7735</v>
      </c>
      <c r="S1237" s="8">
        <v>14.7735</v>
      </c>
    </row>
    <row r="1238" spans="1:19" s="12" customFormat="1" ht="16.5" customHeight="1">
      <c r="A1238" s="3"/>
      <c r="B1238" s="13" t="s">
        <v>415</v>
      </c>
      <c r="C1238" s="7">
        <v>14.9652</v>
      </c>
      <c r="D1238" s="7"/>
      <c r="E1238" s="7">
        <v>15.6019</v>
      </c>
      <c r="F1238" s="7">
        <v>16.3094</v>
      </c>
      <c r="G1238" s="7">
        <v>20.2713</v>
      </c>
      <c r="H1238" s="14">
        <v>15.2155</v>
      </c>
      <c r="I1238" s="7">
        <v>14.5899</v>
      </c>
      <c r="J1238" s="7">
        <v>15.6864</v>
      </c>
      <c r="K1238" s="7">
        <v>15.9544</v>
      </c>
      <c r="L1238" s="7">
        <v>17.1726</v>
      </c>
      <c r="M1238" s="7"/>
      <c r="N1238" s="7">
        <v>14.3632</v>
      </c>
      <c r="O1238" s="8">
        <v>6.8271</v>
      </c>
      <c r="P1238" s="68">
        <v>15.1736</v>
      </c>
      <c r="Q1238" s="7">
        <v>15.1736</v>
      </c>
      <c r="R1238" s="7">
        <v>15.1736</v>
      </c>
      <c r="S1238" s="8">
        <v>15.1736</v>
      </c>
    </row>
    <row r="1239" spans="1:19" s="12" customFormat="1" ht="16.5" customHeight="1">
      <c r="A1239" s="3"/>
      <c r="B1239" s="13" t="s">
        <v>416</v>
      </c>
      <c r="C1239" s="7">
        <v>14.918</v>
      </c>
      <c r="D1239" s="7"/>
      <c r="E1239" s="7">
        <v>15.559</v>
      </c>
      <c r="F1239" s="7">
        <v>16.2712</v>
      </c>
      <c r="G1239" s="7">
        <v>20.2595</v>
      </c>
      <c r="H1239" s="14">
        <v>15.1728</v>
      </c>
      <c r="I1239" s="7">
        <v>14.8552</v>
      </c>
      <c r="J1239" s="7">
        <v>15.919</v>
      </c>
      <c r="K1239" s="7">
        <v>16.1938</v>
      </c>
      <c r="L1239" s="7">
        <v>17.4428</v>
      </c>
      <c r="M1239" s="7"/>
      <c r="N1239" s="7">
        <v>14.5704</v>
      </c>
      <c r="O1239" s="8">
        <v>7.853</v>
      </c>
      <c r="P1239" s="68">
        <v>15.2403</v>
      </c>
      <c r="Q1239" s="7">
        <v>15.2403</v>
      </c>
      <c r="R1239" s="7">
        <v>15.2403</v>
      </c>
      <c r="S1239" s="8">
        <v>15.2403</v>
      </c>
    </row>
    <row r="1240" spans="1:19" s="12" customFormat="1" ht="16.5" customHeight="1">
      <c r="A1240" s="3"/>
      <c r="B1240" s="13" t="s">
        <v>417</v>
      </c>
      <c r="C1240" s="7">
        <v>14.734</v>
      </c>
      <c r="D1240" s="7"/>
      <c r="E1240" s="7">
        <v>15.3916</v>
      </c>
      <c r="F1240" s="7">
        <v>16.1222</v>
      </c>
      <c r="G1240" s="7">
        <v>20.2135</v>
      </c>
      <c r="H1240" s="14">
        <v>15.0065</v>
      </c>
      <c r="I1240" s="7">
        <v>15.3821</v>
      </c>
      <c r="J1240" s="7">
        <v>16.6536</v>
      </c>
      <c r="K1240" s="7">
        <v>17.0105</v>
      </c>
      <c r="L1240" s="7">
        <v>18.6324</v>
      </c>
      <c r="M1240" s="7"/>
      <c r="N1240" s="7">
        <v>15.0026</v>
      </c>
      <c r="O1240" s="8">
        <v>8.3632</v>
      </c>
      <c r="P1240" s="68">
        <v>15.9378</v>
      </c>
      <c r="Q1240" s="7">
        <v>15.9378</v>
      </c>
      <c r="R1240" s="7">
        <v>15.9378</v>
      </c>
      <c r="S1240" s="8">
        <v>15.9378</v>
      </c>
    </row>
    <row r="1241" spans="1:19" s="12" customFormat="1" ht="16.5" customHeight="1">
      <c r="A1241" s="3"/>
      <c r="B1241" s="13" t="s">
        <v>418</v>
      </c>
      <c r="C1241" s="7">
        <v>15.132</v>
      </c>
      <c r="D1241" s="7"/>
      <c r="E1241" s="7">
        <v>15.7538</v>
      </c>
      <c r="F1241" s="7">
        <v>16.4446</v>
      </c>
      <c r="G1241" s="7">
        <v>20.313</v>
      </c>
      <c r="H1241" s="14">
        <v>15.3689</v>
      </c>
      <c r="I1241" s="7">
        <v>15.5823</v>
      </c>
      <c r="J1241" s="7">
        <v>17.0725</v>
      </c>
      <c r="K1241" s="7">
        <v>17.4924</v>
      </c>
      <c r="L1241" s="7">
        <v>19.4009</v>
      </c>
      <c r="M1241" s="7"/>
      <c r="N1241" s="7">
        <v>15.2417</v>
      </c>
      <c r="O1241" s="8">
        <v>8.7701</v>
      </c>
      <c r="P1241" s="68">
        <v>16.054</v>
      </c>
      <c r="Q1241" s="7">
        <v>16.054</v>
      </c>
      <c r="R1241" s="7">
        <v>16.054</v>
      </c>
      <c r="S1241" s="8">
        <v>16.054</v>
      </c>
    </row>
    <row r="1242" spans="1:19" s="12" customFormat="1" ht="16.5" customHeight="1">
      <c r="A1242" s="3"/>
      <c r="B1242" s="13" t="s">
        <v>419</v>
      </c>
      <c r="C1242" s="7">
        <v>15.2987</v>
      </c>
      <c r="D1242" s="7"/>
      <c r="E1242" s="7">
        <v>15.9054</v>
      </c>
      <c r="F1242" s="7">
        <v>16.5795</v>
      </c>
      <c r="G1242" s="7">
        <v>20.3547</v>
      </c>
      <c r="H1242" s="14">
        <v>15.5208</v>
      </c>
      <c r="I1242" s="7">
        <v>15.7286</v>
      </c>
      <c r="J1242" s="7">
        <v>17.4885</v>
      </c>
      <c r="K1242" s="7">
        <v>17.9592</v>
      </c>
      <c r="L1242" s="7">
        <v>20.0989</v>
      </c>
      <c r="M1242" s="7"/>
      <c r="N1242" s="7">
        <v>15.5094</v>
      </c>
      <c r="O1242" s="8">
        <v>8.8962</v>
      </c>
      <c r="P1242" s="68">
        <v>16.054</v>
      </c>
      <c r="Q1242" s="7">
        <v>16.054</v>
      </c>
      <c r="R1242" s="7">
        <v>16.054</v>
      </c>
      <c r="S1242" s="8">
        <v>16.054</v>
      </c>
    </row>
    <row r="1243" spans="1:19" s="12" customFormat="1" ht="16.5" customHeight="1">
      <c r="A1243" s="3"/>
      <c r="B1243" s="4" t="s">
        <v>13</v>
      </c>
      <c r="C1243" s="11">
        <f>(C1237*1+C1238*7+C1239*7+C1240*7+C1241*7+C1242*2)/31</f>
        <v>14.96747741935484</v>
      </c>
      <c r="D1243" s="11"/>
      <c r="E1243" s="11">
        <f aca="true" t="shared" si="184" ref="E1243:S1243">(E1237*1+E1238*7+E1239*7+E1240*7+E1241*7+E1242*2)/31</f>
        <v>15.604032258064517</v>
      </c>
      <c r="F1243" s="11">
        <f t="shared" si="184"/>
        <v>16.311287096774194</v>
      </c>
      <c r="G1243" s="11">
        <f t="shared" si="184"/>
        <v>20.271870967741936</v>
      </c>
      <c r="H1243" s="11">
        <f t="shared" si="184"/>
        <v>15.218441935483872</v>
      </c>
      <c r="I1243" s="11">
        <f t="shared" si="184"/>
        <v>15.133690322580645</v>
      </c>
      <c r="J1243" s="11">
        <f t="shared" si="184"/>
        <v>16.389593548387094</v>
      </c>
      <c r="K1243" s="11">
        <f>(K1237*1+K1238*7+K1239*7+K1240*7+K1241*7+K1242*2)/31</f>
        <v>16.726609677419354</v>
      </c>
      <c r="L1243" s="11">
        <f t="shared" si="184"/>
        <v>18.258374193548388</v>
      </c>
      <c r="M1243" s="11"/>
      <c r="N1243" s="11">
        <f t="shared" si="184"/>
        <v>14.83263870967742</v>
      </c>
      <c r="O1243" s="38">
        <f t="shared" si="184"/>
        <v>7.976358064516128</v>
      </c>
      <c r="P1243" s="11">
        <f t="shared" si="184"/>
        <v>15.603916129032257</v>
      </c>
      <c r="Q1243" s="11">
        <f>(Q1237*1+Q1238*7+Q1239*7+Q1240*7+Q1241*7+Q1242*2)/31</f>
        <v>15.603916129032257</v>
      </c>
      <c r="R1243" s="48">
        <f t="shared" si="184"/>
        <v>15.603916129032257</v>
      </c>
      <c r="S1243" s="38">
        <f t="shared" si="184"/>
        <v>15.603916129032257</v>
      </c>
    </row>
    <row r="1244" spans="1:19" s="12" customFormat="1" ht="16.5" customHeight="1">
      <c r="A1244" s="20"/>
      <c r="B1244" s="19">
        <v>2020</v>
      </c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39"/>
      <c r="P1244" s="14"/>
      <c r="S1244" s="15"/>
    </row>
    <row r="1245" spans="1:19" s="12" customFormat="1" ht="16.5" customHeight="1">
      <c r="A1245" s="3"/>
      <c r="B1245" s="13" t="s">
        <v>212</v>
      </c>
      <c r="C1245" s="7">
        <v>14.8957</v>
      </c>
      <c r="D1245" s="7"/>
      <c r="E1245" s="7">
        <v>15.59</v>
      </c>
      <c r="F1245" s="7">
        <v>16.3614</v>
      </c>
      <c r="G1245" s="7">
        <v>20.6814</v>
      </c>
      <c r="H1245" s="14">
        <v>15.2058</v>
      </c>
      <c r="I1245" s="7">
        <v>15.6981</v>
      </c>
      <c r="J1245" s="7">
        <v>17.4006</v>
      </c>
      <c r="K1245" s="7">
        <v>17.8734</v>
      </c>
      <c r="L1245" s="7">
        <v>20.0225</v>
      </c>
      <c r="M1245" s="7"/>
      <c r="N1245" s="7">
        <v>15.4261</v>
      </c>
      <c r="O1245" s="8">
        <v>9.0763</v>
      </c>
      <c r="P1245" s="7">
        <v>17.4725</v>
      </c>
      <c r="Q1245" s="7">
        <v>17.4725</v>
      </c>
      <c r="R1245" s="7">
        <v>17.4725</v>
      </c>
      <c r="S1245" s="8">
        <v>17.4725</v>
      </c>
    </row>
    <row r="1246" spans="1:19" s="12" customFormat="1" ht="16.5" customHeight="1">
      <c r="A1246" s="3"/>
      <c r="B1246" s="13" t="s">
        <v>420</v>
      </c>
      <c r="C1246" s="7">
        <v>14.9365</v>
      </c>
      <c r="D1246" s="7"/>
      <c r="E1246" s="7">
        <v>15.6271</v>
      </c>
      <c r="F1246" s="7">
        <v>16.3945</v>
      </c>
      <c r="G1246" s="7">
        <v>20.6916</v>
      </c>
      <c r="H1246" s="14">
        <v>15.2418</v>
      </c>
      <c r="I1246" s="7">
        <v>15.667</v>
      </c>
      <c r="J1246" s="7">
        <v>17.4165</v>
      </c>
      <c r="K1246" s="7">
        <v>17.9024</v>
      </c>
      <c r="L1246" s="7">
        <v>20.1109</v>
      </c>
      <c r="M1246" s="7"/>
      <c r="N1246" s="7">
        <v>15.4661</v>
      </c>
      <c r="O1246" s="8">
        <v>10.3091</v>
      </c>
      <c r="P1246" s="7">
        <v>18.4181</v>
      </c>
      <c r="Q1246" s="7">
        <v>18.4181</v>
      </c>
      <c r="R1246" s="7">
        <v>18.4181</v>
      </c>
      <c r="S1246" s="8">
        <v>18.4181</v>
      </c>
    </row>
    <row r="1247" spans="1:19" s="12" customFormat="1" ht="16.5" customHeight="1">
      <c r="A1247" s="3"/>
      <c r="B1247" s="13" t="s">
        <v>421</v>
      </c>
      <c r="C1247" s="7">
        <v>14.4448</v>
      </c>
      <c r="D1247" s="7"/>
      <c r="E1247" s="7">
        <v>15.1796</v>
      </c>
      <c r="F1247" s="7">
        <v>15.9962</v>
      </c>
      <c r="G1247" s="7">
        <v>20.5687</v>
      </c>
      <c r="H1247" s="14">
        <v>14.7945</v>
      </c>
      <c r="I1247" s="7">
        <v>14.8462</v>
      </c>
      <c r="J1247" s="7">
        <v>16.7842</v>
      </c>
      <c r="K1247" s="7">
        <v>17.3546</v>
      </c>
      <c r="L1247" s="7">
        <v>19.9475</v>
      </c>
      <c r="M1247" s="7"/>
      <c r="N1247" s="7">
        <v>14.5701</v>
      </c>
      <c r="O1247" s="8">
        <v>9.8004</v>
      </c>
      <c r="P1247" s="7">
        <v>18.7134</v>
      </c>
      <c r="Q1247" s="7">
        <v>18.7134</v>
      </c>
      <c r="R1247" s="7">
        <v>18.7134</v>
      </c>
      <c r="S1247" s="8">
        <v>18.7134</v>
      </c>
    </row>
    <row r="1248" spans="1:19" s="12" customFormat="1" ht="16.5" customHeight="1">
      <c r="A1248" s="3"/>
      <c r="B1248" s="13" t="s">
        <v>422</v>
      </c>
      <c r="C1248" s="7">
        <v>14.244</v>
      </c>
      <c r="D1248" s="7"/>
      <c r="E1248" s="7">
        <v>14.9969</v>
      </c>
      <c r="F1248" s="7">
        <v>15.8335</v>
      </c>
      <c r="G1248" s="7">
        <v>20.5185</v>
      </c>
      <c r="H1248" s="14">
        <v>14.6102</v>
      </c>
      <c r="I1248" s="7">
        <v>14.6246</v>
      </c>
      <c r="J1248" s="7">
        <v>16.5888</v>
      </c>
      <c r="K1248" s="7">
        <v>17.1865</v>
      </c>
      <c r="L1248" s="7">
        <v>19.9034</v>
      </c>
      <c r="M1248" s="7"/>
      <c r="N1248" s="7">
        <v>14.3115</v>
      </c>
      <c r="O1248" s="8">
        <v>9.6724</v>
      </c>
      <c r="P1248" s="7">
        <v>18.7626</v>
      </c>
      <c r="Q1248" s="7">
        <v>18.7626</v>
      </c>
      <c r="R1248" s="7">
        <v>18.7626</v>
      </c>
      <c r="S1248" s="8">
        <v>18.7626</v>
      </c>
    </row>
    <row r="1249" spans="1:19" s="12" customFormat="1" ht="16.5" customHeight="1">
      <c r="A1249" s="3"/>
      <c r="B1249" s="13" t="s">
        <v>423</v>
      </c>
      <c r="C1249" s="7">
        <v>13.7507</v>
      </c>
      <c r="D1249" s="7"/>
      <c r="E1249" s="7">
        <v>14.548</v>
      </c>
      <c r="F1249" s="7">
        <v>15.4339</v>
      </c>
      <c r="G1249" s="7">
        <v>20.3952</v>
      </c>
      <c r="H1249" s="14">
        <v>14.157</v>
      </c>
      <c r="I1249" s="7">
        <v>13.9937</v>
      </c>
      <c r="J1249" s="7">
        <v>15.9731</v>
      </c>
      <c r="K1249" s="7">
        <v>16.5573</v>
      </c>
      <c r="L1249" s="7">
        <v>19.2125</v>
      </c>
      <c r="M1249" s="7"/>
      <c r="N1249" s="7">
        <v>13.7361</v>
      </c>
      <c r="O1249" s="8">
        <v>9.4699</v>
      </c>
      <c r="P1249" s="7">
        <v>18.2312</v>
      </c>
      <c r="Q1249" s="7">
        <v>18.2312</v>
      </c>
      <c r="R1249" s="7">
        <v>18.2312</v>
      </c>
      <c r="S1249" s="8">
        <v>18.2312</v>
      </c>
    </row>
    <row r="1250" spans="1:19" s="12" customFormat="1" ht="16.5" customHeight="1">
      <c r="A1250" s="3"/>
      <c r="B1250" s="4" t="s">
        <v>13</v>
      </c>
      <c r="C1250" s="11">
        <f>(C1245*5+C1246*7+C1247*7+C1248*7+C1249*5)/31</f>
        <v>14.47126129032258</v>
      </c>
      <c r="D1250" s="11"/>
      <c r="E1250" s="11">
        <f aca="true" t="shared" si="185" ref="E1250:S1250">(E1245*5+E1246*7+E1247*7+E1248*7+E1249*5)/31</f>
        <v>15.203716129032259</v>
      </c>
      <c r="F1250" s="11">
        <f t="shared" si="185"/>
        <v>16.017609677419358</v>
      </c>
      <c r="G1250" s="11">
        <f>(G1245*5+G1246*7+G1247*7+G1248*7+G1249*5)/31</f>
        <v>20.575309677419355</v>
      </c>
      <c r="H1250" s="11">
        <f t="shared" si="185"/>
        <v>14.81740322580645</v>
      </c>
      <c r="I1250" s="11">
        <f t="shared" si="185"/>
        <v>14.981406451612903</v>
      </c>
      <c r="J1250" s="11">
        <f t="shared" si="185"/>
        <v>16.851451612903226</v>
      </c>
      <c r="K1250" s="11">
        <f>(K1245*5+K1246*7+K1247*7+K1248*7+K1249*5)/31</f>
        <v>17.39541935483871</v>
      </c>
      <c r="L1250" s="11">
        <f t="shared" si="185"/>
        <v>19.867987096774193</v>
      </c>
      <c r="M1250" s="11"/>
      <c r="N1250" s="11">
        <f t="shared" si="185"/>
        <v>14.71757741935484</v>
      </c>
      <c r="O1250" s="38">
        <f t="shared" si="185"/>
        <v>9.716267741935484</v>
      </c>
      <c r="P1250" s="11">
        <f t="shared" si="185"/>
        <v>18.379909677419356</v>
      </c>
      <c r="Q1250" s="11">
        <f t="shared" si="185"/>
        <v>18.379909677419356</v>
      </c>
      <c r="R1250" s="48">
        <f t="shared" si="185"/>
        <v>18.379909677419356</v>
      </c>
      <c r="S1250" s="38">
        <f t="shared" si="185"/>
        <v>18.379909677419356</v>
      </c>
    </row>
    <row r="1251" spans="1:19" s="12" customFormat="1" ht="16.5" customHeight="1">
      <c r="A1251" s="3"/>
      <c r="B1251" s="13" t="s">
        <v>221</v>
      </c>
      <c r="C1251" s="7">
        <v>13.6377</v>
      </c>
      <c r="D1251" s="7"/>
      <c r="E1251" s="7">
        <v>14.4452</v>
      </c>
      <c r="F1251" s="7">
        <v>15.3424</v>
      </c>
      <c r="G1251" s="7">
        <v>20.3669</v>
      </c>
      <c r="H1251" s="14">
        <v>14.0498</v>
      </c>
      <c r="I1251" s="7">
        <v>13.5221</v>
      </c>
      <c r="J1251" s="7">
        <v>15.6644</v>
      </c>
      <c r="K1251" s="7">
        <v>16.2558</v>
      </c>
      <c r="L1251" s="7">
        <v>18.9442</v>
      </c>
      <c r="M1251" s="7"/>
      <c r="N1251" s="7">
        <v>13.405</v>
      </c>
      <c r="O1251" s="8">
        <v>9.0975</v>
      </c>
      <c r="P1251" s="7">
        <v>18.0983</v>
      </c>
      <c r="Q1251" s="7">
        <v>18.0983</v>
      </c>
      <c r="R1251" s="7">
        <v>18.0983</v>
      </c>
      <c r="S1251" s="8">
        <v>18.0983</v>
      </c>
    </row>
    <row r="1252" spans="1:19" s="12" customFormat="1" ht="16.5" customHeight="1">
      <c r="A1252" s="3"/>
      <c r="B1252" s="13" t="s">
        <v>424</v>
      </c>
      <c r="C1252" s="7">
        <v>13.3947</v>
      </c>
      <c r="D1252" s="7"/>
      <c r="E1252" s="7">
        <v>14.2241</v>
      </c>
      <c r="F1252" s="7">
        <v>15.1456</v>
      </c>
      <c r="G1252" s="7">
        <v>20.3062</v>
      </c>
      <c r="H1252" s="14">
        <v>13.8292</v>
      </c>
      <c r="I1252" s="7">
        <v>12.9654</v>
      </c>
      <c r="J1252" s="7">
        <v>15.2968</v>
      </c>
      <c r="K1252" s="7">
        <v>15.8618</v>
      </c>
      <c r="L1252" s="7">
        <v>18.4297</v>
      </c>
      <c r="M1252" s="7"/>
      <c r="N1252" s="7">
        <v>13.0102</v>
      </c>
      <c r="O1252" s="8">
        <v>8.6764</v>
      </c>
      <c r="P1252" s="7">
        <v>18.0983</v>
      </c>
      <c r="Q1252" s="7">
        <v>18.0983</v>
      </c>
      <c r="R1252" s="7">
        <v>18.0983</v>
      </c>
      <c r="S1252" s="8">
        <v>18.0983</v>
      </c>
    </row>
    <row r="1253" spans="1:19" s="12" customFormat="1" ht="16.5" customHeight="1">
      <c r="A1253" s="3"/>
      <c r="B1253" s="13" t="s">
        <v>425</v>
      </c>
      <c r="C1253" s="7">
        <v>13.6043</v>
      </c>
      <c r="D1253" s="7"/>
      <c r="E1253" s="7">
        <v>14.4148</v>
      </c>
      <c r="F1253" s="7">
        <v>15.3153</v>
      </c>
      <c r="G1253" s="7">
        <v>20.3586</v>
      </c>
      <c r="H1253" s="14">
        <v>14.0195</v>
      </c>
      <c r="I1253" s="7">
        <v>12.9138</v>
      </c>
      <c r="J1253" s="7">
        <v>15.1376</v>
      </c>
      <c r="K1253" s="7">
        <v>15.6456</v>
      </c>
      <c r="L1253" s="7">
        <v>17.9549</v>
      </c>
      <c r="M1253" s="7"/>
      <c r="N1253" s="7">
        <v>12.9334</v>
      </c>
      <c r="O1253" s="8">
        <v>8.9121</v>
      </c>
      <c r="P1253" s="7">
        <v>16.754</v>
      </c>
      <c r="Q1253" s="7">
        <v>16.754</v>
      </c>
      <c r="R1253" s="7">
        <v>16.754</v>
      </c>
      <c r="S1253" s="8">
        <v>16.754</v>
      </c>
    </row>
    <row r="1254" spans="1:19" s="12" customFormat="1" ht="16.5" customHeight="1">
      <c r="A1254" s="3"/>
      <c r="B1254" s="13" t="s">
        <v>426</v>
      </c>
      <c r="C1254" s="7">
        <v>13.8864</v>
      </c>
      <c r="D1254" s="7"/>
      <c r="E1254" s="7">
        <v>14.6715</v>
      </c>
      <c r="F1254" s="7">
        <v>15.5439</v>
      </c>
      <c r="G1254" s="7">
        <v>20.4291</v>
      </c>
      <c r="H1254" s="14">
        <v>13.8292</v>
      </c>
      <c r="I1254" s="7">
        <v>13.1077</v>
      </c>
      <c r="J1254" s="7">
        <v>15.4835</v>
      </c>
      <c r="K1254" s="7">
        <v>16.0571</v>
      </c>
      <c r="L1254" s="7">
        <v>18.664</v>
      </c>
      <c r="M1254" s="7"/>
      <c r="N1254" s="7">
        <v>13.0567</v>
      </c>
      <c r="O1254" s="8">
        <v>9.3918</v>
      </c>
      <c r="P1254" s="7">
        <v>16.2163</v>
      </c>
      <c r="Q1254" s="7">
        <v>16.2163</v>
      </c>
      <c r="R1254" s="7">
        <v>16.2163</v>
      </c>
      <c r="S1254" s="8">
        <v>16.2163</v>
      </c>
    </row>
    <row r="1255" spans="1:19" s="12" customFormat="1" ht="16.5" customHeight="1">
      <c r="A1255" s="3"/>
      <c r="B1255" s="13" t="s">
        <v>427</v>
      </c>
      <c r="C1255" s="7">
        <v>13.4438</v>
      </c>
      <c r="D1255" s="7"/>
      <c r="E1255" s="7">
        <v>14.2688</v>
      </c>
      <c r="F1255" s="7">
        <v>15.1854</v>
      </c>
      <c r="G1255" s="7">
        <v>20.3185</v>
      </c>
      <c r="H1255" s="14">
        <v>13.8668</v>
      </c>
      <c r="I1255" s="7">
        <v>12.6156</v>
      </c>
      <c r="J1255" s="7">
        <v>15.0307</v>
      </c>
      <c r="K1255" s="7">
        <v>15.6518</v>
      </c>
      <c r="L1255" s="7">
        <v>18.4746</v>
      </c>
      <c r="M1255" s="7"/>
      <c r="N1255" s="7">
        <v>12.4693</v>
      </c>
      <c r="O1255" s="8">
        <v>9.2555</v>
      </c>
      <c r="P1255" s="7">
        <v>15.5621</v>
      </c>
      <c r="Q1255" s="7">
        <v>15.5621</v>
      </c>
      <c r="R1255" s="7">
        <v>15.5621</v>
      </c>
      <c r="S1255" s="8">
        <v>15.5621</v>
      </c>
    </row>
    <row r="1256" spans="1:19" s="12" customFormat="1" ht="16.5" customHeight="1">
      <c r="A1256" s="3"/>
      <c r="B1256" s="4" t="s">
        <v>13</v>
      </c>
      <c r="C1256" s="11">
        <f>(C1251*2+C1252*7+C1253*7+C1254*7+C1255*6)/29</f>
        <v>13.59089655172414</v>
      </c>
      <c r="D1256" s="11"/>
      <c r="E1256" s="11">
        <f aca="true" t="shared" si="186" ref="E1256:S1256">(E1251*2+E1252*7+E1253*7+E1254*7+E1255*6)/29</f>
        <v>14.402620689655175</v>
      </c>
      <c r="F1256" s="11">
        <f t="shared" si="186"/>
        <v>15.304510344827584</v>
      </c>
      <c r="G1256" s="11">
        <f t="shared" si="186"/>
        <v>20.35524482758621</v>
      </c>
      <c r="H1256" s="11">
        <f t="shared" si="186"/>
        <v>13.898127586206897</v>
      </c>
      <c r="I1256" s="11">
        <f t="shared" si="186"/>
        <v>12.953313793103447</v>
      </c>
      <c r="J1256" s="11">
        <f t="shared" si="186"/>
        <v>15.273734482758622</v>
      </c>
      <c r="K1256" s="11">
        <f>(K1251*2+K1252*7+K1253*7+K1254*7+K1255*6)/29</f>
        <v>15.840479310344827</v>
      </c>
      <c r="L1256" s="11">
        <f t="shared" si="186"/>
        <v>18.416420689655173</v>
      </c>
      <c r="M1256" s="11"/>
      <c r="N1256" s="11">
        <f t="shared" si="186"/>
        <v>12.918203448275861</v>
      </c>
      <c r="O1256" s="38">
        <f t="shared" si="186"/>
        <v>9.054831034482758</v>
      </c>
      <c r="P1256" s="11">
        <f t="shared" si="186"/>
        <v>16.794806896551723</v>
      </c>
      <c r="Q1256" s="11">
        <f t="shared" si="186"/>
        <v>16.794806896551723</v>
      </c>
      <c r="R1256" s="48">
        <f t="shared" si="186"/>
        <v>16.794806896551723</v>
      </c>
      <c r="S1256" s="38">
        <f t="shared" si="186"/>
        <v>16.794806896551723</v>
      </c>
    </row>
    <row r="1257" spans="1:19" s="12" customFormat="1" ht="16.5" customHeight="1">
      <c r="A1257" s="3"/>
      <c r="B1257" s="13" t="s">
        <v>54</v>
      </c>
      <c r="C1257" s="7">
        <v>12.2379</v>
      </c>
      <c r="D1257" s="7"/>
      <c r="E1257" s="7">
        <v>13.1714</v>
      </c>
      <c r="F1257" s="7">
        <v>14.2086</v>
      </c>
      <c r="G1257" s="7">
        <v>20.017</v>
      </c>
      <c r="H1257" s="14">
        <v>12.7714</v>
      </c>
      <c r="I1257" s="7">
        <v>11.7566</v>
      </c>
      <c r="J1257" s="7">
        <v>14.0717</v>
      </c>
      <c r="K1257" s="7">
        <v>14.7154</v>
      </c>
      <c r="L1257" s="7">
        <v>17.6412</v>
      </c>
      <c r="M1257" s="7"/>
      <c r="N1257" s="7">
        <v>11.4271</v>
      </c>
      <c r="O1257" s="8">
        <v>8.6064</v>
      </c>
      <c r="P1257" s="68">
        <v>15.4313</v>
      </c>
      <c r="Q1257" s="7">
        <v>15.4313</v>
      </c>
      <c r="R1257" s="7">
        <v>15.4313</v>
      </c>
      <c r="S1257" s="8">
        <v>15.4313</v>
      </c>
    </row>
    <row r="1258" spans="1:19" s="12" customFormat="1" ht="16.5" customHeight="1">
      <c r="A1258" s="3"/>
      <c r="B1258" s="13" t="s">
        <v>292</v>
      </c>
      <c r="C1258" s="7">
        <v>12.3078</v>
      </c>
      <c r="D1258" s="7"/>
      <c r="E1258" s="7">
        <v>13.235</v>
      </c>
      <c r="F1258" s="7">
        <v>14.2652</v>
      </c>
      <c r="G1258" s="7">
        <v>20.0345</v>
      </c>
      <c r="H1258" s="14">
        <v>12.8368</v>
      </c>
      <c r="I1258" s="7">
        <v>11.7121</v>
      </c>
      <c r="J1258" s="7">
        <v>13.8174</v>
      </c>
      <c r="K1258" s="7">
        <v>14.3299</v>
      </c>
      <c r="L1258" s="7">
        <v>16.6596</v>
      </c>
      <c r="M1258" s="7"/>
      <c r="N1258" s="7">
        <v>11.6253</v>
      </c>
      <c r="O1258" s="8">
        <v>8.4084</v>
      </c>
      <c r="P1258" s="68">
        <v>15.4313</v>
      </c>
      <c r="Q1258" s="7">
        <v>15.4313</v>
      </c>
      <c r="R1258" s="7">
        <v>15.4313</v>
      </c>
      <c r="S1258" s="8">
        <v>15.4313</v>
      </c>
    </row>
    <row r="1259" spans="1:19" s="12" customFormat="1" ht="16.5" customHeight="1">
      <c r="A1259" s="3"/>
      <c r="B1259" s="13" t="s">
        <v>293</v>
      </c>
      <c r="C1259" s="7">
        <v>9.8941</v>
      </c>
      <c r="D1259" s="7"/>
      <c r="E1259" s="7">
        <v>11.0385</v>
      </c>
      <c r="F1259" s="7">
        <v>12.3101</v>
      </c>
      <c r="G1259" s="7">
        <v>19.431</v>
      </c>
      <c r="H1259" s="14">
        <v>10.6399</v>
      </c>
      <c r="I1259" s="7">
        <v>9.4411</v>
      </c>
      <c r="J1259" s="7">
        <v>12.0031</v>
      </c>
      <c r="K1259" s="7">
        <v>12.6005</v>
      </c>
      <c r="L1259" s="7">
        <v>15.3158</v>
      </c>
      <c r="M1259" s="7"/>
      <c r="N1259" s="7">
        <v>9.5308</v>
      </c>
      <c r="O1259" s="8">
        <v>6.2389</v>
      </c>
      <c r="P1259" s="68">
        <v>14.964</v>
      </c>
      <c r="Q1259" s="7">
        <v>14.964</v>
      </c>
      <c r="R1259" s="7">
        <v>14.964</v>
      </c>
      <c r="S1259" s="8">
        <v>14.964</v>
      </c>
    </row>
    <row r="1260" spans="1:19" s="12" customFormat="1" ht="16.5" customHeight="1">
      <c r="A1260" s="3"/>
      <c r="B1260" s="13" t="s">
        <v>294</v>
      </c>
      <c r="C1260" s="7">
        <v>7.1296</v>
      </c>
      <c r="D1260" s="7"/>
      <c r="E1260" s="7">
        <v>8.5228</v>
      </c>
      <c r="F1260" s="7">
        <v>10.0709</v>
      </c>
      <c r="G1260" s="7">
        <v>18.7399</v>
      </c>
      <c r="H1260" s="14">
        <v>8.116</v>
      </c>
      <c r="I1260" s="7">
        <v>7.3169</v>
      </c>
      <c r="J1260" s="7">
        <v>10.6221</v>
      </c>
      <c r="K1260" s="7">
        <v>11.2384</v>
      </c>
      <c r="L1260" s="7">
        <v>14.0397</v>
      </c>
      <c r="M1260" s="7"/>
      <c r="N1260" s="7">
        <v>8.0747</v>
      </c>
      <c r="O1260" s="8">
        <v>5.7658</v>
      </c>
      <c r="P1260" s="68">
        <v>14.8861</v>
      </c>
      <c r="Q1260" s="7">
        <v>14.8861</v>
      </c>
      <c r="R1260" s="7">
        <v>14.8861</v>
      </c>
      <c r="S1260" s="8">
        <v>14.8861</v>
      </c>
    </row>
    <row r="1261" spans="1:19" s="12" customFormat="1" ht="16.5" customHeight="1">
      <c r="A1261" s="3"/>
      <c r="B1261" s="13" t="s">
        <v>295</v>
      </c>
      <c r="C1261" s="7">
        <v>5.7631</v>
      </c>
      <c r="D1261" s="7"/>
      <c r="E1261" s="7">
        <v>7.2793</v>
      </c>
      <c r="F1261" s="7">
        <v>8.964</v>
      </c>
      <c r="G1261" s="7">
        <v>18.3983</v>
      </c>
      <c r="H1261" s="14">
        <v>6.8677</v>
      </c>
      <c r="I1261" s="7">
        <v>6.2566</v>
      </c>
      <c r="J1261" s="7">
        <v>10.1842</v>
      </c>
      <c r="K1261" s="7">
        <v>10.7351</v>
      </c>
      <c r="L1261" s="7">
        <v>13.2389</v>
      </c>
      <c r="M1261" s="7"/>
      <c r="N1261" s="7">
        <v>7.8591</v>
      </c>
      <c r="O1261" s="8">
        <v>5.6901</v>
      </c>
      <c r="P1261" s="68">
        <v>10.5359</v>
      </c>
      <c r="Q1261" s="7">
        <v>10.5359</v>
      </c>
      <c r="R1261" s="7">
        <v>10.5359</v>
      </c>
      <c r="S1261" s="8">
        <v>10.5359</v>
      </c>
    </row>
    <row r="1262" spans="1:19" s="12" customFormat="1" ht="16.5" customHeight="1">
      <c r="A1262" s="3"/>
      <c r="B1262" s="13" t="s">
        <v>296</v>
      </c>
      <c r="C1262" s="7">
        <v>5.3805</v>
      </c>
      <c r="D1262" s="7"/>
      <c r="E1262" s="7">
        <v>6.9312</v>
      </c>
      <c r="F1262" s="7">
        <v>8.6541</v>
      </c>
      <c r="G1262" s="7">
        <v>18.3026</v>
      </c>
      <c r="H1262" s="14">
        <v>6.522</v>
      </c>
      <c r="I1262" s="7">
        <v>6.09</v>
      </c>
      <c r="J1262" s="7">
        <v>9.5968</v>
      </c>
      <c r="K1262" s="7">
        <v>10.0284</v>
      </c>
      <c r="L1262" s="7">
        <v>11.9901</v>
      </c>
      <c r="M1262" s="7"/>
      <c r="N1262" s="7">
        <v>7.6586</v>
      </c>
      <c r="O1262" s="8">
        <v>5.4393</v>
      </c>
      <c r="P1262" s="68">
        <v>9.8109</v>
      </c>
      <c r="Q1262" s="7">
        <v>9.8109</v>
      </c>
      <c r="R1262" s="7">
        <v>9.8109</v>
      </c>
      <c r="S1262" s="8">
        <v>9.8109</v>
      </c>
    </row>
    <row r="1263" spans="1:19" s="12" customFormat="1" ht="16.5" customHeight="1">
      <c r="A1263" s="3"/>
      <c r="B1263" s="4" t="s">
        <v>13</v>
      </c>
      <c r="C1263" s="11">
        <f>(C1257*1+C1258*7+C1259*7+C1260*7+C1261*7+C1262*2)/31</f>
        <v>8.666487096774194</v>
      </c>
      <c r="D1263" s="11"/>
      <c r="E1263" s="11">
        <f aca="true" t="shared" si="187" ref="E1263:R1263">(E1257*1+E1258*7+E1259*7+E1260*7+E1261*7+E1262*2)/31</f>
        <v>9.921387096774193</v>
      </c>
      <c r="F1263" s="11">
        <f t="shared" si="187"/>
        <v>11.315748387096775</v>
      </c>
      <c r="G1263" s="11">
        <f t="shared" si="187"/>
        <v>19.124132258064513</v>
      </c>
      <c r="H1263" s="11">
        <f t="shared" si="187"/>
        <v>9.51736129032258</v>
      </c>
      <c r="I1263" s="11">
        <f t="shared" si="187"/>
        <v>8.61366129032258</v>
      </c>
      <c r="J1263" s="11">
        <f t="shared" si="187"/>
        <v>11.601706451612904</v>
      </c>
      <c r="K1263" s="11">
        <f>(K1257*1+K1258*7+K1259*7+K1260*7+K1261*7+K1262*2)/31</f>
        <v>12.1645</v>
      </c>
      <c r="L1263" s="11">
        <f t="shared" si="187"/>
        <v>14.722561290322583</v>
      </c>
      <c r="M1263" s="11"/>
      <c r="N1263" s="11">
        <f t="shared" si="187"/>
        <v>9.237858064516127</v>
      </c>
      <c r="O1263" s="38">
        <f t="shared" si="187"/>
        <v>6.522819354838711</v>
      </c>
      <c r="P1263" s="11">
        <f t="shared" si="187"/>
        <v>13.734651612903226</v>
      </c>
      <c r="Q1263" s="11">
        <f t="shared" si="187"/>
        <v>13.734651612903226</v>
      </c>
      <c r="R1263" s="48">
        <f t="shared" si="187"/>
        <v>13.734651612903226</v>
      </c>
      <c r="S1263" s="38">
        <f>(S1257*1+S1258*7+S1259*7+S1260*7+S1261*7+S1262*2)/31</f>
        <v>13.734651612903226</v>
      </c>
    </row>
    <row r="1264" spans="1:19" s="12" customFormat="1" ht="16.5" customHeight="1">
      <c r="A1264" s="3"/>
      <c r="B1264" s="13" t="s">
        <v>226</v>
      </c>
      <c r="C1264" s="7">
        <v>5.2991</v>
      </c>
      <c r="D1264" s="7"/>
      <c r="E1264" s="7">
        <v>6.9174</v>
      </c>
      <c r="F1264" s="7">
        <v>8.7155</v>
      </c>
      <c r="G1264" s="7">
        <v>18.7848</v>
      </c>
      <c r="H1264" s="14">
        <v>6.5035</v>
      </c>
      <c r="I1264" s="7">
        <v>5.5762</v>
      </c>
      <c r="J1264" s="7">
        <v>9.2459</v>
      </c>
      <c r="K1264" s="7">
        <v>9.6858</v>
      </c>
      <c r="L1264" s="7">
        <v>11.6852</v>
      </c>
      <c r="M1264" s="7"/>
      <c r="N1264" s="7">
        <v>6.9797</v>
      </c>
      <c r="O1264" s="8">
        <v>5.4127</v>
      </c>
      <c r="P1264" s="68">
        <v>9.8109</v>
      </c>
      <c r="Q1264" s="7">
        <v>9.8109</v>
      </c>
      <c r="R1264" s="7">
        <v>9.8109</v>
      </c>
      <c r="S1264" s="8">
        <v>9.8109</v>
      </c>
    </row>
    <row r="1265" spans="1:19" s="12" customFormat="1" ht="16.5" customHeight="1">
      <c r="A1265" s="3"/>
      <c r="B1265" s="13" t="s">
        <v>297</v>
      </c>
      <c r="C1265" s="7">
        <v>5.4206</v>
      </c>
      <c r="D1265" s="7"/>
      <c r="E1265" s="7">
        <v>7.0279</v>
      </c>
      <c r="F1265" s="7">
        <v>8.8139</v>
      </c>
      <c r="G1265" s="7">
        <v>18.8151</v>
      </c>
      <c r="H1265" s="14">
        <v>6.6154</v>
      </c>
      <c r="I1265" s="7">
        <v>5.5155</v>
      </c>
      <c r="J1265" s="7">
        <v>9.4859</v>
      </c>
      <c r="K1265" s="7">
        <v>9.9819</v>
      </c>
      <c r="L1265" s="7">
        <v>12.2367</v>
      </c>
      <c r="M1265" s="7"/>
      <c r="N1265" s="7">
        <v>6.9193</v>
      </c>
      <c r="O1265" s="8">
        <v>6.0716</v>
      </c>
      <c r="P1265" s="68">
        <v>8.8203</v>
      </c>
      <c r="Q1265" s="7">
        <v>8.8203</v>
      </c>
      <c r="R1265" s="7">
        <v>8.8203</v>
      </c>
      <c r="S1265" s="8">
        <v>8.8203</v>
      </c>
    </row>
    <row r="1266" spans="1:19" s="12" customFormat="1" ht="16.5" customHeight="1">
      <c r="A1266" s="3"/>
      <c r="B1266" s="13" t="s">
        <v>298</v>
      </c>
      <c r="C1266" s="7">
        <v>5.0749</v>
      </c>
      <c r="D1266" s="7"/>
      <c r="E1266" s="7">
        <v>6.7134</v>
      </c>
      <c r="F1266" s="7">
        <v>8.5339</v>
      </c>
      <c r="G1266" s="7">
        <v>18.7287</v>
      </c>
      <c r="H1266" s="14">
        <v>6.3032</v>
      </c>
      <c r="I1266" s="7">
        <v>5.1948</v>
      </c>
      <c r="J1266" s="7">
        <v>8.683</v>
      </c>
      <c r="K1266" s="7">
        <v>9.1383</v>
      </c>
      <c r="L1266" s="7">
        <v>11.2077</v>
      </c>
      <c r="M1266" s="7"/>
      <c r="N1266" s="7">
        <v>6.3418</v>
      </c>
      <c r="O1266" s="8">
        <v>5.3187</v>
      </c>
      <c r="P1266" s="68">
        <v>8.4241</v>
      </c>
      <c r="Q1266" s="7">
        <v>8.4241</v>
      </c>
      <c r="R1266" s="7">
        <v>8.4241</v>
      </c>
      <c r="S1266" s="8">
        <v>8.4241</v>
      </c>
    </row>
    <row r="1267" spans="1:19" s="12" customFormat="1" ht="16.5" customHeight="1">
      <c r="A1267" s="3"/>
      <c r="B1267" s="13" t="s">
        <v>299</v>
      </c>
      <c r="C1267" s="7">
        <v>4.9643</v>
      </c>
      <c r="D1267" s="7"/>
      <c r="E1267" s="7">
        <v>6.6127</v>
      </c>
      <c r="F1267" s="7">
        <v>8.4443</v>
      </c>
      <c r="G1267" s="7">
        <v>18.7011</v>
      </c>
      <c r="H1267" s="14">
        <v>6.2054</v>
      </c>
      <c r="I1267" s="7">
        <v>4.1491</v>
      </c>
      <c r="J1267" s="7">
        <v>7.6761</v>
      </c>
      <c r="K1267" s="7">
        <v>8.1565</v>
      </c>
      <c r="L1267" s="7">
        <v>10.3404</v>
      </c>
      <c r="M1267" s="7"/>
      <c r="N1267" s="7">
        <v>5.3558</v>
      </c>
      <c r="O1267" s="8">
        <v>4.1257</v>
      </c>
      <c r="P1267" s="68">
        <v>10.8652</v>
      </c>
      <c r="Q1267" s="7">
        <v>10.8652</v>
      </c>
      <c r="R1267" s="7">
        <v>10.8652</v>
      </c>
      <c r="S1267" s="8">
        <v>10.8652</v>
      </c>
    </row>
    <row r="1268" spans="1:19" s="12" customFormat="1" ht="16.5" customHeight="1">
      <c r="A1268" s="3"/>
      <c r="B1268" s="13" t="s">
        <v>300</v>
      </c>
      <c r="C1268" s="7">
        <v>4.9515</v>
      </c>
      <c r="D1268" s="7"/>
      <c r="E1268" s="7">
        <v>6.601</v>
      </c>
      <c r="F1268" s="7">
        <v>8.4339</v>
      </c>
      <c r="G1268" s="7">
        <v>18.6979</v>
      </c>
      <c r="H1268" s="14">
        <v>6.1937</v>
      </c>
      <c r="I1268" s="7">
        <v>3.5096</v>
      </c>
      <c r="J1268" s="7">
        <v>6.9909</v>
      </c>
      <c r="K1268" s="7">
        <v>7.4221</v>
      </c>
      <c r="L1268" s="7">
        <v>9.3823</v>
      </c>
      <c r="M1268" s="7"/>
      <c r="N1268" s="7">
        <v>4.8389</v>
      </c>
      <c r="O1268" s="8">
        <v>3.8295</v>
      </c>
      <c r="P1268" s="68">
        <v>11.2721</v>
      </c>
      <c r="Q1268" s="7">
        <v>11.2721</v>
      </c>
      <c r="R1268" s="7">
        <v>11.2721</v>
      </c>
      <c r="S1268" s="8">
        <v>11.2721</v>
      </c>
    </row>
    <row r="1269" spans="1:19" s="12" customFormat="1" ht="16.5" customHeight="1">
      <c r="A1269" s="3"/>
      <c r="B1269" s="4" t="s">
        <v>13</v>
      </c>
      <c r="C1269" s="11">
        <f>(C1264*5+C1265*7+C1266*7+C1267*7+C1268*4)/30</f>
        <v>5.150670000000001</v>
      </c>
      <c r="D1269" s="11"/>
      <c r="E1269" s="11">
        <f aca="true" t="shared" si="188" ref="E1269:S1269">(E1264*5+E1265*7+E1266*7+E1267*7+E1268*4)/30</f>
        <v>6.7823</v>
      </c>
      <c r="F1269" s="11">
        <f t="shared" si="188"/>
        <v>8.595259999999998</v>
      </c>
      <c r="G1269" s="11">
        <f t="shared" si="188"/>
        <v>18.747663333333332</v>
      </c>
      <c r="H1269" s="11">
        <f t="shared" si="188"/>
        <v>6.37201</v>
      </c>
      <c r="I1269" s="11">
        <f t="shared" si="188"/>
        <v>4.864506666666666</v>
      </c>
      <c r="J1269" s="11">
        <f t="shared" si="188"/>
        <v>8.503603333333333</v>
      </c>
      <c r="K1269" s="11">
        <f>(K1264*5+K1265*7+K1266*7+K1267*7+K1268*4)/30</f>
        <v>8.968476666666668</v>
      </c>
      <c r="L1269" s="11">
        <f t="shared" si="188"/>
        <v>11.081626666666667</v>
      </c>
      <c r="M1269" s="11"/>
      <c r="N1269" s="11">
        <f t="shared" si="188"/>
        <v>6.152413333333333</v>
      </c>
      <c r="O1269" s="38">
        <f t="shared" si="188"/>
        <v>5.033116666666667</v>
      </c>
      <c r="P1269" s="11">
        <f t="shared" si="188"/>
        <v>9.697003333333333</v>
      </c>
      <c r="Q1269" s="11">
        <f>(Q1264*5+Q1265*7+Q1266*7+Q1267*7+Q1268*4)/30</f>
        <v>9.697003333333333</v>
      </c>
      <c r="R1269" s="48">
        <f t="shared" si="188"/>
        <v>9.697003333333333</v>
      </c>
      <c r="S1269" s="38">
        <f t="shared" si="188"/>
        <v>9.697003333333333</v>
      </c>
    </row>
    <row r="1270" spans="1:19" s="12" customFormat="1" ht="16.5" customHeight="1">
      <c r="A1270" s="3"/>
      <c r="B1270" s="13" t="s">
        <v>230</v>
      </c>
      <c r="C1270" s="7">
        <v>5.5939</v>
      </c>
      <c r="D1270" s="7"/>
      <c r="E1270" s="7">
        <v>7.1856</v>
      </c>
      <c r="F1270" s="7">
        <v>8.9543</v>
      </c>
      <c r="G1270" s="7">
        <v>18.8585</v>
      </c>
      <c r="H1270" s="14">
        <v>6.779</v>
      </c>
      <c r="I1270" s="7">
        <v>3.8715</v>
      </c>
      <c r="J1270" s="7">
        <v>7.6021</v>
      </c>
      <c r="K1270" s="7">
        <v>8.019</v>
      </c>
      <c r="L1270" s="7">
        <v>9.9136</v>
      </c>
      <c r="M1270" s="7"/>
      <c r="N1270" s="7">
        <v>5.4532</v>
      </c>
      <c r="O1270" s="8">
        <v>3.9274</v>
      </c>
      <c r="P1270" s="68">
        <v>11.2721</v>
      </c>
      <c r="Q1270" s="7">
        <v>11.2721</v>
      </c>
      <c r="R1270" s="7">
        <v>11.2721</v>
      </c>
      <c r="S1270" s="8">
        <v>11.2721</v>
      </c>
    </row>
    <row r="1271" spans="1:19" s="12" customFormat="1" ht="16.5" customHeight="1">
      <c r="A1271" s="3"/>
      <c r="B1271" s="13" t="s">
        <v>301</v>
      </c>
      <c r="C1271" s="7">
        <v>6.3476</v>
      </c>
      <c r="D1271" s="7"/>
      <c r="E1271" s="7">
        <v>7.8715</v>
      </c>
      <c r="F1271" s="7">
        <v>9.5648</v>
      </c>
      <c r="G1271" s="7">
        <v>19.0469</v>
      </c>
      <c r="H1271" s="14">
        <v>7.4645</v>
      </c>
      <c r="I1271" s="7">
        <v>4.2786</v>
      </c>
      <c r="J1271" s="7">
        <v>8.0968</v>
      </c>
      <c r="K1271" s="7">
        <v>8.4991</v>
      </c>
      <c r="L1271" s="7">
        <v>10.3278</v>
      </c>
      <c r="M1271" s="7"/>
      <c r="N1271" s="7">
        <v>6.0087</v>
      </c>
      <c r="O1271" s="8">
        <v>4.5698</v>
      </c>
      <c r="P1271" s="68">
        <v>11.9314</v>
      </c>
      <c r="Q1271" s="7">
        <v>11.9314</v>
      </c>
      <c r="R1271" s="7">
        <v>11.9314</v>
      </c>
      <c r="S1271" s="8">
        <v>11.9314</v>
      </c>
    </row>
    <row r="1272" spans="1:19" s="12" customFormat="1" ht="16.5" customHeight="1">
      <c r="A1272" s="3"/>
      <c r="B1272" s="13" t="s">
        <v>302</v>
      </c>
      <c r="C1272" s="7">
        <v>7.2033</v>
      </c>
      <c r="D1272" s="7"/>
      <c r="E1272" s="7">
        <v>8.6502</v>
      </c>
      <c r="F1272" s="7">
        <v>10.2579</v>
      </c>
      <c r="G1272" s="7">
        <v>19.2608</v>
      </c>
      <c r="H1272" s="14">
        <v>8.2463</v>
      </c>
      <c r="I1272" s="7">
        <v>5.3823</v>
      </c>
      <c r="J1272" s="7">
        <v>8.2511</v>
      </c>
      <c r="K1272" s="7">
        <v>8.6434</v>
      </c>
      <c r="L1272" s="7">
        <v>10.4265</v>
      </c>
      <c r="M1272" s="7"/>
      <c r="N1272" s="7">
        <v>6.2368</v>
      </c>
      <c r="O1272" s="8">
        <v>4.8672</v>
      </c>
      <c r="P1272" s="68">
        <v>12.1951</v>
      </c>
      <c r="Q1272" s="7">
        <v>12.1951</v>
      </c>
      <c r="R1272" s="7">
        <v>12.1951</v>
      </c>
      <c r="S1272" s="8">
        <v>12.1951</v>
      </c>
    </row>
    <row r="1273" spans="1:19" s="12" customFormat="1" ht="16.5" customHeight="1">
      <c r="A1273" s="3"/>
      <c r="B1273" s="13" t="s">
        <v>303</v>
      </c>
      <c r="C1273" s="7">
        <v>8.186</v>
      </c>
      <c r="D1273" s="7"/>
      <c r="E1273" s="7">
        <v>9.5445</v>
      </c>
      <c r="F1273" s="7">
        <v>11.0539</v>
      </c>
      <c r="G1273" s="7">
        <v>19.5065</v>
      </c>
      <c r="H1273" s="14">
        <v>9.1428</v>
      </c>
      <c r="I1273" s="7">
        <v>6.8877</v>
      </c>
      <c r="J1273" s="7">
        <v>9.2459</v>
      </c>
      <c r="K1273" s="7">
        <v>9.618</v>
      </c>
      <c r="L1273" s="7">
        <v>11.3094</v>
      </c>
      <c r="M1273" s="7"/>
      <c r="N1273" s="7">
        <v>7.3601</v>
      </c>
      <c r="O1273" s="8">
        <v>6.0786</v>
      </c>
      <c r="P1273" s="68">
        <v>10.5346</v>
      </c>
      <c r="Q1273" s="7">
        <v>10.5346</v>
      </c>
      <c r="R1273" s="7">
        <v>10.5346</v>
      </c>
      <c r="S1273" s="8">
        <v>10.5346</v>
      </c>
    </row>
    <row r="1274" spans="1:19" s="12" customFormat="1" ht="16.5" customHeight="1">
      <c r="A1274" s="3"/>
      <c r="B1274" s="13" t="s">
        <v>304</v>
      </c>
      <c r="C1274" s="7">
        <v>8.1528</v>
      </c>
      <c r="D1274" s="7"/>
      <c r="E1274" s="7">
        <v>9.5142</v>
      </c>
      <c r="F1274" s="7">
        <v>11.0269</v>
      </c>
      <c r="G1274" s="7">
        <v>19.4982</v>
      </c>
      <c r="H1274" s="14">
        <v>9.113</v>
      </c>
      <c r="I1274" s="7">
        <v>7.427</v>
      </c>
      <c r="J1274" s="7">
        <v>9.4685</v>
      </c>
      <c r="K1274" s="7">
        <v>9.8389</v>
      </c>
      <c r="L1274" s="7">
        <v>11.5225</v>
      </c>
      <c r="M1274" s="7"/>
      <c r="N1274" s="7">
        <v>7.6702</v>
      </c>
      <c r="O1274" s="8">
        <v>6.1168</v>
      </c>
      <c r="P1274" s="68">
        <v>10.2579</v>
      </c>
      <c r="Q1274" s="7">
        <v>10.2579</v>
      </c>
      <c r="R1274" s="7">
        <v>10.2579</v>
      </c>
      <c r="S1274" s="8">
        <v>10.2579</v>
      </c>
    </row>
    <row r="1275" spans="1:19" s="12" customFormat="1" ht="16.5" customHeight="1">
      <c r="A1275" s="3"/>
      <c r="B1275" s="4" t="s">
        <v>13</v>
      </c>
      <c r="C1275" s="11">
        <f>(C1270*3+C1271*7+C1272*7+C1273*7+C1274*7)/31</f>
        <v>7.290632258064515</v>
      </c>
      <c r="D1275" s="11"/>
      <c r="E1275" s="11">
        <f aca="true" t="shared" si="189" ref="E1275:S1275">(E1270*3+E1271*7+E1272*7+E1273*7+E1274*7)/31</f>
        <v>8.729664516129032</v>
      </c>
      <c r="F1275" s="11">
        <f t="shared" si="189"/>
        <v>10.328625806451614</v>
      </c>
      <c r="G1275" s="11">
        <f t="shared" si="189"/>
        <v>19.282654838709682</v>
      </c>
      <c r="H1275" s="11">
        <f t="shared" si="189"/>
        <v>8.325909677419356</v>
      </c>
      <c r="I1275" s="11">
        <f t="shared" si="189"/>
        <v>5.7885064516129034</v>
      </c>
      <c r="J1275" s="11">
        <f t="shared" si="189"/>
        <v>8.65298064516129</v>
      </c>
      <c r="K1275" s="11">
        <f>(K1270*3+K1271*7+K1272*7+K1273*7+K1274*7)/31</f>
        <v>9.040412903225807</v>
      </c>
      <c r="L1275" s="11">
        <f t="shared" si="189"/>
        <v>10.801425806451613</v>
      </c>
      <c r="M1275" s="11"/>
      <c r="N1275" s="11">
        <f t="shared" si="189"/>
        <v>6.686780645161291</v>
      </c>
      <c r="O1275" s="38">
        <f t="shared" si="189"/>
        <v>5.264806451612904</v>
      </c>
      <c r="P1275" s="11">
        <f t="shared" si="189"/>
        <v>11.233848387096772</v>
      </c>
      <c r="Q1275" s="11">
        <f t="shared" si="189"/>
        <v>11.233848387096772</v>
      </c>
      <c r="R1275" s="48">
        <f>(R1270*3+R1271*7+R1272*7+R1273*7+R1274*7)/31</f>
        <v>11.233848387096772</v>
      </c>
      <c r="S1275" s="38">
        <f t="shared" si="189"/>
        <v>11.233848387096772</v>
      </c>
    </row>
    <row r="1276" spans="1:19" s="12" customFormat="1" ht="16.5" customHeight="1">
      <c r="A1276" s="3"/>
      <c r="B1276" s="13" t="s">
        <v>233</v>
      </c>
      <c r="C1276" s="7">
        <v>8.9805</v>
      </c>
      <c r="D1276" s="7"/>
      <c r="E1276" s="7">
        <v>10.2675</v>
      </c>
      <c r="F1276" s="7">
        <v>11.6974</v>
      </c>
      <c r="G1276" s="7">
        <v>19.7051</v>
      </c>
      <c r="H1276" s="14">
        <v>9.869</v>
      </c>
      <c r="I1276" s="7">
        <v>7.902</v>
      </c>
      <c r="J1276" s="7">
        <v>9.9982</v>
      </c>
      <c r="K1276" s="7">
        <v>10.3794</v>
      </c>
      <c r="L1276" s="7">
        <v>12.1125</v>
      </c>
      <c r="M1276" s="7"/>
      <c r="N1276" s="7">
        <v>8.2752</v>
      </c>
      <c r="O1276" s="8">
        <v>6.9634</v>
      </c>
      <c r="P1276" s="68">
        <v>10.9757</v>
      </c>
      <c r="Q1276" s="7">
        <v>10.9757</v>
      </c>
      <c r="R1276" s="7">
        <v>10.9757</v>
      </c>
      <c r="S1276" s="8">
        <v>10.9757</v>
      </c>
    </row>
    <row r="1277" spans="1:19" s="12" customFormat="1" ht="16.5" customHeight="1">
      <c r="A1277" s="3"/>
      <c r="B1277" s="13" t="s">
        <v>306</v>
      </c>
      <c r="C1277" s="7">
        <v>9.6363</v>
      </c>
      <c r="D1277" s="7"/>
      <c r="E1277" s="7">
        <v>10.8642</v>
      </c>
      <c r="F1277" s="7">
        <v>12.2286</v>
      </c>
      <c r="G1277" s="7">
        <v>19.8691</v>
      </c>
      <c r="H1277" s="14">
        <v>10.4699</v>
      </c>
      <c r="I1277" s="7">
        <v>8.3858</v>
      </c>
      <c r="J1277" s="7">
        <v>10.5155</v>
      </c>
      <c r="K1277" s="7">
        <v>10.8793</v>
      </c>
      <c r="L1277" s="7">
        <v>12.5333</v>
      </c>
      <c r="M1277" s="7"/>
      <c r="N1277" s="7">
        <v>8.9387</v>
      </c>
      <c r="O1277" s="8">
        <v>7.612</v>
      </c>
      <c r="P1277" s="68">
        <v>11.0953</v>
      </c>
      <c r="Q1277" s="7">
        <v>11.0953</v>
      </c>
      <c r="R1277" s="7">
        <v>11.0953</v>
      </c>
      <c r="S1277" s="8">
        <v>11.0953</v>
      </c>
    </row>
    <row r="1278" spans="1:19" s="12" customFormat="1" ht="16.5" customHeight="1">
      <c r="A1278" s="3"/>
      <c r="B1278" s="13" t="s">
        <v>307</v>
      </c>
      <c r="C1278" s="7">
        <v>9.6021</v>
      </c>
      <c r="D1278" s="7"/>
      <c r="E1278" s="7">
        <v>10.5557</v>
      </c>
      <c r="F1278" s="7">
        <v>11.7084</v>
      </c>
      <c r="G1278" s="7">
        <v>19.7085</v>
      </c>
      <c r="H1278" s="14">
        <v>10.2018</v>
      </c>
      <c r="I1278" s="7">
        <v>8.4246</v>
      </c>
      <c r="J1278" s="7">
        <v>10.5804</v>
      </c>
      <c r="K1278" s="7">
        <v>10.9382</v>
      </c>
      <c r="L1278" s="7">
        <v>12.5648</v>
      </c>
      <c r="M1278" s="7"/>
      <c r="N1278" s="7">
        <v>9.2258</v>
      </c>
      <c r="O1278" s="8">
        <v>7.2221</v>
      </c>
      <c r="P1278" s="68">
        <v>10.9892</v>
      </c>
      <c r="Q1278" s="7">
        <v>10.9892</v>
      </c>
      <c r="R1278" s="7">
        <v>10.9892</v>
      </c>
      <c r="S1278" s="8">
        <v>10.9892</v>
      </c>
    </row>
    <row r="1279" spans="1:19" s="12" customFormat="1" ht="16.5" customHeight="1">
      <c r="A1279" s="3"/>
      <c r="B1279" s="13" t="s">
        <v>308</v>
      </c>
      <c r="C1279" s="7">
        <v>9.826</v>
      </c>
      <c r="D1279" s="7"/>
      <c r="E1279" s="7">
        <v>10.7712</v>
      </c>
      <c r="F1279" s="7">
        <v>11.8038</v>
      </c>
      <c r="G1279" s="7">
        <v>19.738</v>
      </c>
      <c r="H1279" s="14">
        <v>10.387</v>
      </c>
      <c r="I1279" s="7">
        <v>8.7153</v>
      </c>
      <c r="J1279" s="7">
        <v>10.7668</v>
      </c>
      <c r="K1279" s="7">
        <v>11.1247</v>
      </c>
      <c r="L1279" s="7">
        <v>12.7517</v>
      </c>
      <c r="M1279" s="7"/>
      <c r="N1279" s="7">
        <v>9.4423</v>
      </c>
      <c r="O1279" s="8">
        <v>7.4017</v>
      </c>
      <c r="P1279" s="68">
        <v>10.9715</v>
      </c>
      <c r="Q1279" s="7">
        <v>10.9715</v>
      </c>
      <c r="R1279" s="7">
        <v>10.9715</v>
      </c>
      <c r="S1279" s="8">
        <v>10.9715</v>
      </c>
    </row>
    <row r="1280" spans="1:19" s="12" customFormat="1" ht="16.5" customHeight="1">
      <c r="A1280" s="3"/>
      <c r="B1280" s="13" t="s">
        <v>309</v>
      </c>
      <c r="C1280" s="7">
        <v>9.1577</v>
      </c>
      <c r="D1280" s="7"/>
      <c r="E1280" s="7">
        <v>10.2125</v>
      </c>
      <c r="F1280" s="7">
        <v>11.3068</v>
      </c>
      <c r="G1280" s="7">
        <v>19.5846</v>
      </c>
      <c r="H1280" s="14">
        <v>9.8287</v>
      </c>
      <c r="I1280" s="7">
        <v>8.3608</v>
      </c>
      <c r="J1280" s="7">
        <v>10.5162</v>
      </c>
      <c r="K1280" s="7">
        <v>10.8588</v>
      </c>
      <c r="L1280" s="7">
        <v>12.4161</v>
      </c>
      <c r="M1280" s="7"/>
      <c r="N1280" s="7">
        <v>9.2393</v>
      </c>
      <c r="O1280" s="8">
        <v>7.2345</v>
      </c>
      <c r="P1280" s="68">
        <v>10.7292</v>
      </c>
      <c r="Q1280" s="7">
        <v>10.7292</v>
      </c>
      <c r="R1280" s="7">
        <v>10.7292</v>
      </c>
      <c r="S1280" s="8">
        <v>10.7292</v>
      </c>
    </row>
    <row r="1281" spans="1:19" s="12" customFormat="1" ht="16.5" customHeight="1">
      <c r="A1281" s="3"/>
      <c r="B1281" s="4" t="s">
        <v>13</v>
      </c>
      <c r="C1281" s="11">
        <f>(C1276*7+C1277*7+C1278*7+C1279*7+C1280*2)/30</f>
        <v>9.487656666666668</v>
      </c>
      <c r="D1281" s="11"/>
      <c r="E1281" s="11">
        <f aca="true" t="shared" si="190" ref="E1281:S1281">(E1276*7+E1277*7+E1278*7+E1279*7+E1280*2)/30</f>
        <v>10.58784</v>
      </c>
      <c r="F1281" s="11">
        <f t="shared" si="190"/>
        <v>11.822700000000001</v>
      </c>
      <c r="G1281" s="11">
        <f t="shared" si="190"/>
        <v>19.743803333333336</v>
      </c>
      <c r="H1281" s="11">
        <f t="shared" si="190"/>
        <v>10.205043333333332</v>
      </c>
      <c r="I1281" s="11">
        <f t="shared" si="190"/>
        <v>8.357183333333333</v>
      </c>
      <c r="J1281" s="11">
        <f>(J1276*7+J1277*7+J1278*7+J1279*7+J1280*2)/30</f>
        <v>10.468623333333333</v>
      </c>
      <c r="K1281" s="11">
        <f>(K1276*7+K1277*7+K1278*7+K1279*7+K1280*2)/30</f>
        <v>10.832293333333334</v>
      </c>
      <c r="L1281" s="11">
        <f t="shared" si="190"/>
        <v>12.48561</v>
      </c>
      <c r="M1281" s="11"/>
      <c r="N1281" s="11">
        <f t="shared" si="190"/>
        <v>8.98842</v>
      </c>
      <c r="O1281" s="38">
        <f t="shared" si="190"/>
        <v>7.295446666666667</v>
      </c>
      <c r="P1281" s="11">
        <f t="shared" si="190"/>
        <v>10.989343333333332</v>
      </c>
      <c r="Q1281" s="11">
        <f t="shared" si="190"/>
        <v>10.989343333333332</v>
      </c>
      <c r="R1281" s="48">
        <f t="shared" si="190"/>
        <v>10.989343333333332</v>
      </c>
      <c r="S1281" s="38">
        <f t="shared" si="190"/>
        <v>10.989343333333332</v>
      </c>
    </row>
    <row r="1282" spans="1:19" s="12" customFormat="1" ht="16.5" customHeight="1">
      <c r="A1282" s="3"/>
      <c r="B1282" s="13" t="s">
        <v>238</v>
      </c>
      <c r="C1282" s="7">
        <v>9.5472</v>
      </c>
      <c r="D1282" s="7"/>
      <c r="E1282" s="7">
        <v>10.4892</v>
      </c>
      <c r="F1282" s="7">
        <v>11.5388</v>
      </c>
      <c r="G1282" s="7">
        <v>19.5732</v>
      </c>
      <c r="H1282" s="14">
        <v>10.104</v>
      </c>
      <c r="I1282" s="7">
        <v>8.5964</v>
      </c>
      <c r="J1282" s="7">
        <v>10.8417</v>
      </c>
      <c r="K1282" s="7">
        <v>11.1766</v>
      </c>
      <c r="L1282" s="7">
        <v>12.699</v>
      </c>
      <c r="M1282" s="7"/>
      <c r="N1282" s="7">
        <v>9.6061</v>
      </c>
      <c r="O1282" s="8">
        <v>7.4371</v>
      </c>
      <c r="P1282" s="68">
        <v>10.4869</v>
      </c>
      <c r="Q1282" s="7">
        <v>10.4869</v>
      </c>
      <c r="R1282" s="7">
        <v>10.4869</v>
      </c>
      <c r="S1282" s="8">
        <v>10.4869</v>
      </c>
    </row>
    <row r="1283" spans="1:19" s="12" customFormat="1" ht="16.5" customHeight="1">
      <c r="A1283" s="3"/>
      <c r="B1283" s="13" t="s">
        <v>310</v>
      </c>
      <c r="C1283" s="7">
        <v>9.8763</v>
      </c>
      <c r="D1283" s="7"/>
      <c r="E1283" s="7">
        <v>10.776</v>
      </c>
      <c r="F1283" s="7">
        <v>11.7923</v>
      </c>
      <c r="G1283" s="7">
        <v>19.6514</v>
      </c>
      <c r="H1283" s="14">
        <v>10.3888</v>
      </c>
      <c r="I1283" s="7">
        <v>8.8329</v>
      </c>
      <c r="J1283" s="7">
        <v>10.9302</v>
      </c>
      <c r="K1283" s="7">
        <v>11.2304</v>
      </c>
      <c r="L1283" s="7">
        <v>12.5952</v>
      </c>
      <c r="M1283" s="7"/>
      <c r="N1283" s="7">
        <v>9.8018</v>
      </c>
      <c r="O1283" s="8">
        <v>7.9262</v>
      </c>
      <c r="P1283" s="68">
        <v>10.4869</v>
      </c>
      <c r="Q1283" s="7">
        <v>10.4869</v>
      </c>
      <c r="R1283" s="7">
        <v>10.4869</v>
      </c>
      <c r="S1283" s="8">
        <v>10.4869</v>
      </c>
    </row>
    <row r="1284" spans="1:19" s="12" customFormat="1" ht="16.5" customHeight="1">
      <c r="A1284" s="3"/>
      <c r="B1284" s="13" t="s">
        <v>311</v>
      </c>
      <c r="C1284" s="7">
        <v>9.8074</v>
      </c>
      <c r="D1284" s="7"/>
      <c r="E1284" s="7">
        <v>10.852</v>
      </c>
      <c r="F1284" s="7">
        <v>11.8561</v>
      </c>
      <c r="G1284" s="7">
        <v>19.6712</v>
      </c>
      <c r="H1284" s="14">
        <v>10.4606</v>
      </c>
      <c r="I1284" s="7">
        <v>9.0226</v>
      </c>
      <c r="J1284" s="7">
        <v>10.9959</v>
      </c>
      <c r="K1284" s="7">
        <v>11.2831</v>
      </c>
      <c r="L1284" s="7">
        <v>12.5882</v>
      </c>
      <c r="M1284" s="7"/>
      <c r="N1284" s="7">
        <v>9.8833</v>
      </c>
      <c r="O1284" s="8">
        <v>8.0058</v>
      </c>
      <c r="P1284" s="68">
        <v>10.8538</v>
      </c>
      <c r="Q1284" s="7">
        <v>10.8538</v>
      </c>
      <c r="R1284" s="7">
        <v>10.8538</v>
      </c>
      <c r="S1284" s="8">
        <v>10.8538</v>
      </c>
    </row>
    <row r="1285" spans="1:19" s="12" customFormat="1" ht="16.5" customHeight="1">
      <c r="A1285" s="3"/>
      <c r="B1285" s="13" t="s">
        <v>312</v>
      </c>
      <c r="C1285" s="7">
        <v>9.842</v>
      </c>
      <c r="D1285" s="7"/>
      <c r="E1285" s="7">
        <v>10.8822</v>
      </c>
      <c r="F1285" s="7">
        <v>11.8811</v>
      </c>
      <c r="G1285" s="7">
        <v>19.6789</v>
      </c>
      <c r="H1285" s="14">
        <v>10.4886</v>
      </c>
      <c r="I1285" s="7">
        <v>9.2792</v>
      </c>
      <c r="J1285" s="7">
        <v>11.1539</v>
      </c>
      <c r="K1285" s="7">
        <v>11.43</v>
      </c>
      <c r="L1285" s="7">
        <v>12.685</v>
      </c>
      <c r="M1285" s="7"/>
      <c r="N1285" s="7">
        <v>10.0733</v>
      </c>
      <c r="O1285" s="8">
        <v>7.9657</v>
      </c>
      <c r="P1285" s="68">
        <v>10.915</v>
      </c>
      <c r="Q1285" s="7">
        <v>10.915</v>
      </c>
      <c r="R1285" s="7">
        <v>10.915</v>
      </c>
      <c r="S1285" s="8">
        <v>10.915</v>
      </c>
    </row>
    <row r="1286" spans="1:19" s="12" customFormat="1" ht="16.5" customHeight="1">
      <c r="A1286" s="3"/>
      <c r="B1286" s="13" t="s">
        <v>313</v>
      </c>
      <c r="C1286" s="7">
        <v>9.655</v>
      </c>
      <c r="D1286" s="7"/>
      <c r="E1286" s="7">
        <v>10.7595</v>
      </c>
      <c r="F1286" s="7">
        <v>11.7727</v>
      </c>
      <c r="G1286" s="7">
        <v>19.6454</v>
      </c>
      <c r="H1286" s="14">
        <v>10.3669</v>
      </c>
      <c r="I1286" s="7">
        <v>9.1727</v>
      </c>
      <c r="J1286" s="7">
        <v>11.0928</v>
      </c>
      <c r="K1286" s="7">
        <v>11.3767</v>
      </c>
      <c r="L1286" s="7">
        <v>12.7798</v>
      </c>
      <c r="M1286" s="7"/>
      <c r="N1286" s="7">
        <v>9.9572</v>
      </c>
      <c r="O1286" s="8">
        <v>8.0708</v>
      </c>
      <c r="P1286" s="68">
        <v>11.2642</v>
      </c>
      <c r="Q1286" s="7">
        <v>11.2642</v>
      </c>
      <c r="R1286" s="7">
        <v>11.2642</v>
      </c>
      <c r="S1286" s="8">
        <v>11.2642</v>
      </c>
    </row>
    <row r="1287" spans="1:19" s="12" customFormat="1" ht="16.5" customHeight="1">
      <c r="A1287" s="3"/>
      <c r="B1287" s="4" t="s">
        <v>13</v>
      </c>
      <c r="C1287" s="11">
        <f>(C1282*5+C1283*7+C1284*7+C1285*7+C1286*5)/31</f>
        <v>9.76422258064516</v>
      </c>
      <c r="D1287" s="11"/>
      <c r="E1287" s="11">
        <f aca="true" t="shared" si="191" ref="E1287:S1287">(E1282*5+E1283*7+E1284*7+E1285*7+E1286*5)/31</f>
        <v>10.76822258064516</v>
      </c>
      <c r="F1287" s="11">
        <f t="shared" si="191"/>
        <v>11.782709677419353</v>
      </c>
      <c r="G1287" s="11">
        <f t="shared" si="191"/>
        <v>19.6485</v>
      </c>
      <c r="H1287" s="11">
        <f t="shared" si="191"/>
        <v>10.378080645161289</v>
      </c>
      <c r="I1287" s="11">
        <f t="shared" si="191"/>
        <v>8.993174193548388</v>
      </c>
      <c r="J1287" s="11">
        <f t="shared" si="191"/>
        <v>11.0075</v>
      </c>
      <c r="K1287" s="11">
        <f>(K1282*5+K1283*7+K1284*7+K1285*7+K1286*5)/31</f>
        <v>11.302290322580644</v>
      </c>
      <c r="L1287" s="11">
        <f>(L1282*5+L1283*7+L1284*7+L1285*7+L1286*5)/31</f>
        <v>12.660412903225806</v>
      </c>
      <c r="M1287" s="11"/>
      <c r="N1287" s="11">
        <f t="shared" si="191"/>
        <v>9.875009677419355</v>
      </c>
      <c r="O1287" s="38">
        <f t="shared" si="191"/>
        <v>7.897529032258064</v>
      </c>
      <c r="P1287" s="11">
        <f>(P1282*5+P1283*7+P1284*7+P1285*7+P1286*5)/31</f>
        <v>10.791787096774193</v>
      </c>
      <c r="Q1287" s="11">
        <f t="shared" si="191"/>
        <v>10.791787096774193</v>
      </c>
      <c r="R1287" s="48">
        <f t="shared" si="191"/>
        <v>10.791787096774193</v>
      </c>
      <c r="S1287" s="38">
        <f t="shared" si="191"/>
        <v>10.791787096774193</v>
      </c>
    </row>
    <row r="1288" spans="1:19" s="12" customFormat="1" ht="16.5" customHeight="1">
      <c r="A1288" s="3"/>
      <c r="B1288" s="13" t="s">
        <v>244</v>
      </c>
      <c r="C1288" s="7">
        <v>9.3896</v>
      </c>
      <c r="D1288" s="7"/>
      <c r="E1288" s="7">
        <v>10.5636</v>
      </c>
      <c r="F1288" s="7">
        <v>11.6013</v>
      </c>
      <c r="G1288" s="7">
        <v>19.5925</v>
      </c>
      <c r="H1288" s="14">
        <v>10.1743</v>
      </c>
      <c r="I1288" s="7">
        <v>9.0471</v>
      </c>
      <c r="J1288" s="7">
        <v>10.9722</v>
      </c>
      <c r="K1288" s="7">
        <v>11.2793</v>
      </c>
      <c r="L1288" s="7">
        <v>12.675</v>
      </c>
      <c r="M1288" s="7"/>
      <c r="N1288" s="7">
        <v>9.7868</v>
      </c>
      <c r="O1288" s="8">
        <v>8.1242</v>
      </c>
      <c r="P1288" s="68">
        <v>11.7879</v>
      </c>
      <c r="Q1288" s="7">
        <v>11.7879</v>
      </c>
      <c r="R1288" s="7">
        <v>11.7879</v>
      </c>
      <c r="S1288" s="8">
        <v>11.7879</v>
      </c>
    </row>
    <row r="1289" spans="1:19" s="12" customFormat="1" ht="16.5" customHeight="1">
      <c r="A1289" s="3"/>
      <c r="B1289" s="13" t="s">
        <v>314</v>
      </c>
      <c r="C1289" s="7">
        <v>9.5578</v>
      </c>
      <c r="D1289" s="7"/>
      <c r="E1289" s="7">
        <v>10.6535</v>
      </c>
      <c r="F1289" s="7">
        <v>11.6837</v>
      </c>
      <c r="G1289" s="7">
        <v>19.6179</v>
      </c>
      <c r="H1289" s="14">
        <v>10.2668</v>
      </c>
      <c r="I1289" s="7">
        <v>8.9033</v>
      </c>
      <c r="J1289" s="7">
        <v>10.9045</v>
      </c>
      <c r="K1289" s="7">
        <v>11.2334</v>
      </c>
      <c r="L1289" s="7">
        <v>12.7286</v>
      </c>
      <c r="M1289" s="7"/>
      <c r="N1289" s="7">
        <v>9.5321</v>
      </c>
      <c r="O1289" s="8">
        <v>8.0754</v>
      </c>
      <c r="P1289" s="68">
        <v>11.7879</v>
      </c>
      <c r="Q1289" s="7">
        <v>11.7879</v>
      </c>
      <c r="R1289" s="7">
        <v>11.7879</v>
      </c>
      <c r="S1289" s="8">
        <v>11.7879</v>
      </c>
    </row>
    <row r="1290" spans="1:19" s="12" customFormat="1" ht="16.5" customHeight="1">
      <c r="A1290" s="3"/>
      <c r="B1290" s="13" t="s">
        <v>315</v>
      </c>
      <c r="C1290" s="7">
        <v>9.9355</v>
      </c>
      <c r="D1290" s="7"/>
      <c r="E1290" s="7">
        <v>10.9775</v>
      </c>
      <c r="F1290" s="7">
        <v>11.9723</v>
      </c>
      <c r="G1290" s="7">
        <v>19.707</v>
      </c>
      <c r="H1290" s="14">
        <v>10.5911</v>
      </c>
      <c r="I1290" s="7">
        <v>8.8925</v>
      </c>
      <c r="J1290" s="7">
        <v>10.8891</v>
      </c>
      <c r="K1290" s="7">
        <v>11.2116</v>
      </c>
      <c r="L1290" s="7">
        <v>12.6774</v>
      </c>
      <c r="M1290" s="7"/>
      <c r="N1290" s="7">
        <v>9.5067</v>
      </c>
      <c r="O1290" s="8">
        <v>8.1978</v>
      </c>
      <c r="P1290" s="68">
        <v>12.2707</v>
      </c>
      <c r="Q1290" s="7">
        <v>12.2707</v>
      </c>
      <c r="R1290" s="7">
        <v>12.2707</v>
      </c>
      <c r="S1290" s="8">
        <v>12.2707</v>
      </c>
    </row>
    <row r="1291" spans="1:19" s="12" customFormat="1" ht="16.5" customHeight="1">
      <c r="A1291" s="3"/>
      <c r="B1291" s="13" t="s">
        <v>316</v>
      </c>
      <c r="C1291" s="7">
        <v>10.0715</v>
      </c>
      <c r="D1291" s="7"/>
      <c r="E1291" s="7">
        <v>11.1217</v>
      </c>
      <c r="F1291" s="7">
        <v>12.0992</v>
      </c>
      <c r="G1291" s="7">
        <v>19.7462</v>
      </c>
      <c r="H1291" s="14">
        <v>10.7337</v>
      </c>
      <c r="I1291" s="7">
        <v>8.8275</v>
      </c>
      <c r="J1291" s="7">
        <v>10.8532</v>
      </c>
      <c r="K1291" s="7">
        <v>11.177</v>
      </c>
      <c r="L1291" s="7">
        <v>12.6488</v>
      </c>
      <c r="M1291" s="7"/>
      <c r="N1291" s="7">
        <v>9.4386</v>
      </c>
      <c r="O1291" s="8">
        <v>8.5777</v>
      </c>
      <c r="P1291" s="68">
        <v>12.3512</v>
      </c>
      <c r="Q1291" s="7">
        <v>12.3512</v>
      </c>
      <c r="R1291" s="7">
        <v>12.3512</v>
      </c>
      <c r="S1291" s="8">
        <v>12.3512</v>
      </c>
    </row>
    <row r="1292" spans="1:19" s="12" customFormat="1" ht="16.5" customHeight="1">
      <c r="A1292" s="3"/>
      <c r="B1292" s="13" t="s">
        <v>317</v>
      </c>
      <c r="C1292" s="7">
        <v>10.2152</v>
      </c>
      <c r="D1292" s="7"/>
      <c r="E1292" s="7">
        <v>11.2484</v>
      </c>
      <c r="F1292" s="7">
        <v>12.2105</v>
      </c>
      <c r="G1292" s="7">
        <v>19.7805</v>
      </c>
      <c r="H1292" s="14">
        <v>10.8587</v>
      </c>
      <c r="I1292" s="7">
        <v>8.8488</v>
      </c>
      <c r="J1292" s="7">
        <v>10.8445</v>
      </c>
      <c r="K1292" s="7">
        <v>11.1564</v>
      </c>
      <c r="L1292" s="7">
        <v>12.5744</v>
      </c>
      <c r="M1292" s="7"/>
      <c r="N1292" s="7">
        <v>9.4625</v>
      </c>
      <c r="O1292" s="8">
        <v>8.7322</v>
      </c>
      <c r="P1292" s="68">
        <v>12.1595</v>
      </c>
      <c r="Q1292" s="7">
        <v>12.1595</v>
      </c>
      <c r="R1292" s="7">
        <v>12.1595</v>
      </c>
      <c r="S1292" s="8">
        <v>12.1595</v>
      </c>
    </row>
    <row r="1293" spans="1:19" s="12" customFormat="1" ht="16.5" customHeight="1">
      <c r="A1293" s="3"/>
      <c r="B1293" s="13" t="s">
        <v>318</v>
      </c>
      <c r="C1293" s="7">
        <v>10.0283</v>
      </c>
      <c r="D1293" s="7"/>
      <c r="E1293" s="7">
        <v>11.0858</v>
      </c>
      <c r="F1293" s="7">
        <v>12.0671</v>
      </c>
      <c r="G1293" s="7">
        <v>19.7363</v>
      </c>
      <c r="H1293" s="14">
        <v>10.6976</v>
      </c>
      <c r="I1293" s="7">
        <v>8.5853</v>
      </c>
      <c r="J1293" s="7">
        <v>10.6356</v>
      </c>
      <c r="K1293" s="7">
        <v>10.9407</v>
      </c>
      <c r="L1293" s="7">
        <v>12.3274</v>
      </c>
      <c r="M1293" s="7"/>
      <c r="N1293" s="7">
        <v>9.3084</v>
      </c>
      <c r="O1293" s="8">
        <v>8.7104</v>
      </c>
      <c r="P1293" s="68">
        <v>12.1276</v>
      </c>
      <c r="Q1293" s="7">
        <v>12.1276</v>
      </c>
      <c r="R1293" s="7">
        <v>12.1276</v>
      </c>
      <c r="S1293" s="8">
        <v>12.1276</v>
      </c>
    </row>
    <row r="1294" spans="1:19" s="12" customFormat="1" ht="16.5" customHeight="1">
      <c r="A1294" s="3"/>
      <c r="B1294" s="4" t="s">
        <v>13</v>
      </c>
      <c r="C1294" s="11">
        <f>(C1288*2+C1289*7+C1290*7+C1291*7+C1292*7+C1293*1)/31</f>
        <v>9.911854838709678</v>
      </c>
      <c r="D1294" s="11"/>
      <c r="E1294" s="11">
        <f aca="true" t="shared" si="192" ref="E1294:S1294">(E1288*2+E1289*7+E1290*7+E1291*7+E1292*7+E1293*1)/31</f>
        <v>10.97486129032258</v>
      </c>
      <c r="F1294" s="11">
        <f t="shared" si="192"/>
        <v>11.96869677419355</v>
      </c>
      <c r="G1294" s="11">
        <f t="shared" si="192"/>
        <v>19.705887096774195</v>
      </c>
      <c r="H1294" s="11">
        <f t="shared" si="192"/>
        <v>10.587041935483871</v>
      </c>
      <c r="I1294" s="11">
        <f t="shared" si="192"/>
        <v>8.87045806451613</v>
      </c>
      <c r="J1294" s="11">
        <f t="shared" si="192"/>
        <v>10.871583870967742</v>
      </c>
      <c r="K1294" s="11">
        <f>(K1288*2+K1289*7+K1290*7+K1291*7+K1292*7+K1293*1)/31</f>
        <v>11.191874193548385</v>
      </c>
      <c r="L1294" s="11">
        <f t="shared" si="192"/>
        <v>12.647800000000002</v>
      </c>
      <c r="M1294" s="11"/>
      <c r="N1294" s="11">
        <f t="shared" si="192"/>
        <v>9.498751612903225</v>
      </c>
      <c r="O1294" s="38">
        <f t="shared" si="192"/>
        <v>8.388403225806451</v>
      </c>
      <c r="P1294" s="11">
        <f>(P1288*2+P1289*7+P1290*7+P1291*7+P1292*7+P1293*1)/31</f>
        <v>12.118983870967739</v>
      </c>
      <c r="Q1294" s="11">
        <f t="shared" si="192"/>
        <v>12.118983870967739</v>
      </c>
      <c r="R1294" s="48">
        <f t="shared" si="192"/>
        <v>12.118983870967739</v>
      </c>
      <c r="S1294" s="38">
        <f t="shared" si="192"/>
        <v>12.118983870967739</v>
      </c>
    </row>
    <row r="1295" spans="1:19" s="12" customFormat="1" ht="16.5" customHeight="1">
      <c r="A1295" s="3"/>
      <c r="B1295" s="13" t="s">
        <v>27</v>
      </c>
      <c r="C1295" s="7">
        <v>9.9257</v>
      </c>
      <c r="D1295" s="7"/>
      <c r="E1295" s="7">
        <v>10.9795</v>
      </c>
      <c r="F1295" s="7">
        <v>11.9728</v>
      </c>
      <c r="G1295" s="7">
        <v>19.7072</v>
      </c>
      <c r="H1295" s="14">
        <v>10.5917</v>
      </c>
      <c r="I1295" s="7">
        <v>8.4683</v>
      </c>
      <c r="J1295" s="7">
        <v>10.4864</v>
      </c>
      <c r="K1295" s="7">
        <v>10.795</v>
      </c>
      <c r="L1295" s="7">
        <v>12.1978</v>
      </c>
      <c r="M1295" s="7"/>
      <c r="N1295" s="7">
        <v>9.1687</v>
      </c>
      <c r="O1295" s="8">
        <v>8.5727</v>
      </c>
      <c r="P1295" s="68">
        <v>12.1276</v>
      </c>
      <c r="Q1295" s="7">
        <v>12.1276</v>
      </c>
      <c r="R1295" s="7">
        <v>12.1276</v>
      </c>
      <c r="S1295" s="8">
        <v>12.1276</v>
      </c>
    </row>
    <row r="1296" spans="1:19" s="12" customFormat="1" ht="16.5" customHeight="1">
      <c r="A1296" s="3"/>
      <c r="B1296" s="13" t="s">
        <v>319</v>
      </c>
      <c r="C1296" s="7">
        <v>9.4981</v>
      </c>
      <c r="D1296" s="7"/>
      <c r="E1296" s="7">
        <v>10.5345</v>
      </c>
      <c r="F1296" s="7">
        <v>11.5755</v>
      </c>
      <c r="G1296" s="7">
        <v>19.5845</v>
      </c>
      <c r="H1296" s="14">
        <v>10.1453</v>
      </c>
      <c r="I1296" s="7">
        <v>7.7609</v>
      </c>
      <c r="J1296" s="7">
        <v>9.8346</v>
      </c>
      <c r="K1296" s="7">
        <v>10.1805</v>
      </c>
      <c r="L1296" s="7">
        <v>11.753</v>
      </c>
      <c r="M1296" s="7"/>
      <c r="N1296" s="7">
        <v>8.4544</v>
      </c>
      <c r="O1296" s="8">
        <v>7.734</v>
      </c>
      <c r="P1296" s="68">
        <v>12.5444</v>
      </c>
      <c r="Q1296" s="7">
        <v>12.5444</v>
      </c>
      <c r="R1296" s="7">
        <v>12.5444</v>
      </c>
      <c r="S1296" s="8">
        <v>12.5444</v>
      </c>
    </row>
    <row r="1297" spans="1:19" s="12" customFormat="1" ht="16.5" customHeight="1">
      <c r="A1297" s="3"/>
      <c r="B1297" s="13" t="s">
        <v>320</v>
      </c>
      <c r="C1297" s="7">
        <v>9.6826</v>
      </c>
      <c r="D1297" s="7"/>
      <c r="E1297" s="7">
        <v>10.665</v>
      </c>
      <c r="F1297" s="7">
        <v>11.693</v>
      </c>
      <c r="G1297" s="7">
        <v>19.6208</v>
      </c>
      <c r="H1297" s="14">
        <v>10.2773</v>
      </c>
      <c r="I1297" s="7">
        <v>7.8617</v>
      </c>
      <c r="J1297" s="7">
        <v>9.8129</v>
      </c>
      <c r="K1297" s="7">
        <v>10.1927</v>
      </c>
      <c r="L1297" s="7">
        <v>11.9187</v>
      </c>
      <c r="M1297" s="7"/>
      <c r="N1297" s="7">
        <v>8.3822</v>
      </c>
      <c r="O1297" s="8">
        <v>7.7653</v>
      </c>
      <c r="P1297" s="68">
        <v>12.7111</v>
      </c>
      <c r="Q1297" s="7">
        <v>12.7111</v>
      </c>
      <c r="R1297" s="7">
        <v>12.7111</v>
      </c>
      <c r="S1297" s="8">
        <v>12.7111</v>
      </c>
    </row>
    <row r="1298" spans="1:19" s="12" customFormat="1" ht="16.5" customHeight="1">
      <c r="A1298" s="3"/>
      <c r="B1298" s="13" t="s">
        <v>321</v>
      </c>
      <c r="C1298" s="7">
        <v>9.9879</v>
      </c>
      <c r="D1298" s="7"/>
      <c r="E1298" s="7">
        <v>10.9521</v>
      </c>
      <c r="F1298" s="7">
        <v>11.9467</v>
      </c>
      <c r="G1298" s="7">
        <v>19.6991</v>
      </c>
      <c r="H1298" s="14">
        <v>10.5623</v>
      </c>
      <c r="I1298" s="7">
        <v>8.2368</v>
      </c>
      <c r="J1298" s="7">
        <v>10.05</v>
      </c>
      <c r="K1298" s="7">
        <v>10.4607</v>
      </c>
      <c r="L1298" s="7">
        <v>12.3277</v>
      </c>
      <c r="M1298" s="7"/>
      <c r="N1298" s="7">
        <v>8.5442</v>
      </c>
      <c r="O1298" s="8">
        <v>7.9447</v>
      </c>
      <c r="P1298" s="68">
        <v>12.6558</v>
      </c>
      <c r="Q1298" s="7">
        <v>12.6558</v>
      </c>
      <c r="R1298" s="7">
        <v>12.6558</v>
      </c>
      <c r="S1298" s="8">
        <v>12.6558</v>
      </c>
    </row>
    <row r="1299" spans="1:19" s="12" customFormat="1" ht="16.5" customHeight="1">
      <c r="A1299" s="3"/>
      <c r="B1299" s="13" t="s">
        <v>322</v>
      </c>
      <c r="C1299" s="7">
        <v>10.1943</v>
      </c>
      <c r="D1299" s="7"/>
      <c r="E1299" s="7">
        <v>11.1047</v>
      </c>
      <c r="F1299" s="7">
        <v>12.0798</v>
      </c>
      <c r="G1299" s="7">
        <v>19.7402</v>
      </c>
      <c r="H1299" s="14">
        <v>10.7119</v>
      </c>
      <c r="I1299" s="7">
        <v>8.4322</v>
      </c>
      <c r="J1299" s="7">
        <v>10.259</v>
      </c>
      <c r="K1299" s="7">
        <v>10.7153</v>
      </c>
      <c r="L1299" s="7">
        <v>12.7894</v>
      </c>
      <c r="M1299" s="7"/>
      <c r="N1299" s="7">
        <v>8.6051</v>
      </c>
      <c r="O1299" s="8">
        <v>8.0257</v>
      </c>
      <c r="P1299" s="68">
        <v>12.6466</v>
      </c>
      <c r="Q1299" s="7">
        <v>12.6466</v>
      </c>
      <c r="R1299" s="7">
        <v>12.6466</v>
      </c>
      <c r="S1299" s="8">
        <v>12.6466</v>
      </c>
    </row>
    <row r="1300" spans="1:19" s="12" customFormat="1" ht="16.5" customHeight="1">
      <c r="A1300" s="3"/>
      <c r="B1300" s="4" t="s">
        <v>13</v>
      </c>
      <c r="C1300" s="11">
        <f>(C1295*6+C1296*7+C1297*7+C1298*7+C1299*3)/30</f>
        <v>9.810576666666668</v>
      </c>
      <c r="D1300" s="11"/>
      <c r="E1300" s="11">
        <f aca="true" t="shared" si="193" ref="E1300:S1300">(E1295*6+E1296*7+E1297*7+E1298*7+E1299*3)/30</f>
        <v>10.80841</v>
      </c>
      <c r="F1300" s="11">
        <f t="shared" si="193"/>
        <v>11.819420000000001</v>
      </c>
      <c r="G1300" s="11">
        <f t="shared" si="193"/>
        <v>19.659820000000003</v>
      </c>
      <c r="H1300" s="11">
        <f t="shared" si="193"/>
        <v>10.41934</v>
      </c>
      <c r="I1300" s="11">
        <f t="shared" si="193"/>
        <v>8.104073333333334</v>
      </c>
      <c r="J1300" s="11">
        <f t="shared" si="193"/>
        <v>10.052596666666666</v>
      </c>
      <c r="K1300" s="11">
        <f>(K1295*6+K1296*7+K1297*7+K1298*7+K1299*3)/30</f>
        <v>10.425106666666666</v>
      </c>
      <c r="L1300" s="11">
        <f t="shared" si="193"/>
        <v>12.118360000000001</v>
      </c>
      <c r="M1300" s="11"/>
      <c r="N1300" s="11">
        <f t="shared" si="193"/>
        <v>8.616436666666665</v>
      </c>
      <c r="O1300" s="38">
        <f t="shared" si="193"/>
        <v>7.987376666666666</v>
      </c>
      <c r="P1300" s="11">
        <f>(P1295*6+P1296*7+P1297*7+P1298*7+P1299*3)/30</f>
        <v>12.536149999999997</v>
      </c>
      <c r="Q1300" s="11">
        <f t="shared" si="193"/>
        <v>12.536149999999997</v>
      </c>
      <c r="R1300" s="48">
        <f t="shared" si="193"/>
        <v>12.536149999999997</v>
      </c>
      <c r="S1300" s="38">
        <f t="shared" si="193"/>
        <v>12.536149999999997</v>
      </c>
    </row>
    <row r="1301" spans="1:19" s="12" customFormat="1" ht="16.5" customHeight="1">
      <c r="A1301" s="3"/>
      <c r="B1301" s="13" t="s">
        <v>253</v>
      </c>
      <c r="C1301" s="7">
        <v>10.0148</v>
      </c>
      <c r="D1301" s="7"/>
      <c r="E1301" s="7">
        <v>10.9997</v>
      </c>
      <c r="F1301" s="7">
        <v>12.0568</v>
      </c>
      <c r="G1301" s="7">
        <v>20.1756</v>
      </c>
      <c r="H1301" s="14">
        <v>10.6071</v>
      </c>
      <c r="I1301" s="7">
        <v>8.4268</v>
      </c>
      <c r="J1301" s="7">
        <v>10.1659</v>
      </c>
      <c r="K1301" s="7">
        <v>10.665</v>
      </c>
      <c r="L1301" s="7">
        <v>12.7447</v>
      </c>
      <c r="M1301" s="7"/>
      <c r="N1301" s="7">
        <v>8.5644</v>
      </c>
      <c r="O1301" s="8">
        <v>7.9447</v>
      </c>
      <c r="P1301" s="68">
        <v>12.6466</v>
      </c>
      <c r="Q1301" s="7">
        <v>12.6466</v>
      </c>
      <c r="R1301" s="7">
        <v>12.6466</v>
      </c>
      <c r="S1301" s="8">
        <v>12.6466</v>
      </c>
    </row>
    <row r="1302" spans="1:19" s="12" customFormat="1" ht="16.5" customHeight="1">
      <c r="A1302" s="3"/>
      <c r="B1302" s="13" t="s">
        <v>323</v>
      </c>
      <c r="C1302" s="7">
        <v>9.8785</v>
      </c>
      <c r="D1302" s="7"/>
      <c r="E1302" s="7">
        <v>10.9257</v>
      </c>
      <c r="F1302" s="7">
        <v>11.9942</v>
      </c>
      <c r="G1302" s="7">
        <v>20.1562</v>
      </c>
      <c r="H1302" s="14">
        <v>10.5367</v>
      </c>
      <c r="I1302" s="7">
        <v>8.6993</v>
      </c>
      <c r="J1302" s="7">
        <v>10.219</v>
      </c>
      <c r="K1302" s="7">
        <v>10.709</v>
      </c>
      <c r="L1302" s="7">
        <v>12.7509</v>
      </c>
      <c r="M1302" s="7"/>
      <c r="N1302" s="7">
        <v>8.6391</v>
      </c>
      <c r="O1302" s="8">
        <v>7.8779</v>
      </c>
      <c r="P1302" s="68">
        <v>12.9241</v>
      </c>
      <c r="Q1302" s="7">
        <v>12.9241</v>
      </c>
      <c r="R1302" s="7">
        <v>12.9241</v>
      </c>
      <c r="S1302" s="8">
        <v>12.9241</v>
      </c>
    </row>
    <row r="1303" spans="1:19" s="12" customFormat="1" ht="16.5" customHeight="1">
      <c r="A1303" s="3"/>
      <c r="B1303" s="13" t="s">
        <v>324</v>
      </c>
      <c r="C1303" s="7">
        <v>9.6218</v>
      </c>
      <c r="D1303" s="7"/>
      <c r="E1303" s="7">
        <v>10.8124</v>
      </c>
      <c r="F1303" s="7">
        <v>11.8952</v>
      </c>
      <c r="G1303" s="7">
        <v>20.1257</v>
      </c>
      <c r="H1303" s="14">
        <v>10.4255</v>
      </c>
      <c r="I1303" s="7">
        <v>8.7292</v>
      </c>
      <c r="J1303" s="7">
        <v>10.4175</v>
      </c>
      <c r="K1303" s="7">
        <v>10.9287</v>
      </c>
      <c r="L1303" s="7">
        <v>13.0585</v>
      </c>
      <c r="M1303" s="7"/>
      <c r="N1303" s="7">
        <v>8.791</v>
      </c>
      <c r="O1303" s="8">
        <v>8.3503</v>
      </c>
      <c r="P1303" s="68">
        <v>12.9703</v>
      </c>
      <c r="Q1303" s="7">
        <v>12.9703</v>
      </c>
      <c r="R1303" s="7">
        <v>12.9703</v>
      </c>
      <c r="S1303" s="8">
        <v>12.9703</v>
      </c>
    </row>
    <row r="1304" spans="1:19" s="12" customFormat="1" ht="16.5" customHeight="1">
      <c r="A1304" s="3"/>
      <c r="B1304" s="13" t="s">
        <v>325</v>
      </c>
      <c r="C1304" s="7">
        <v>9.4832</v>
      </c>
      <c r="D1304" s="7"/>
      <c r="E1304" s="7">
        <v>10.7488</v>
      </c>
      <c r="F1304" s="7">
        <v>11.8377</v>
      </c>
      <c r="G1304" s="7">
        <v>20.1079</v>
      </c>
      <c r="H1304" s="14">
        <v>10.3608</v>
      </c>
      <c r="I1304" s="7">
        <v>8.582</v>
      </c>
      <c r="J1304" s="7">
        <v>10.4773</v>
      </c>
      <c r="K1304" s="7">
        <v>11.0565</v>
      </c>
      <c r="L1304" s="7">
        <v>13.4701</v>
      </c>
      <c r="M1304" s="7"/>
      <c r="N1304" s="7">
        <v>8.7038</v>
      </c>
      <c r="O1304" s="8">
        <v>8.6602</v>
      </c>
      <c r="P1304" s="68">
        <v>14.2161</v>
      </c>
      <c r="Q1304" s="7">
        <v>14.2161</v>
      </c>
      <c r="R1304" s="7">
        <v>14.2161</v>
      </c>
      <c r="S1304" s="8">
        <v>14.2161</v>
      </c>
    </row>
    <row r="1305" spans="1:19" s="12" customFormat="1" ht="16.5" customHeight="1">
      <c r="A1305" s="3"/>
      <c r="B1305" s="13" t="s">
        <v>326</v>
      </c>
      <c r="C1305" s="7">
        <v>9.1635</v>
      </c>
      <c r="D1305" s="7"/>
      <c r="E1305" s="7">
        <v>10.3946</v>
      </c>
      <c r="F1305" s="7">
        <v>11.5223</v>
      </c>
      <c r="G1305" s="7">
        <v>20.0106</v>
      </c>
      <c r="H1305" s="14">
        <v>10.0065</v>
      </c>
      <c r="I1305" s="7">
        <v>8.3459</v>
      </c>
      <c r="J1305" s="7">
        <v>10.2789</v>
      </c>
      <c r="K1305" s="7">
        <v>10.9283</v>
      </c>
      <c r="L1305" s="7">
        <v>13.634</v>
      </c>
      <c r="M1305" s="7"/>
      <c r="N1305" s="7">
        <v>8.3055</v>
      </c>
      <c r="O1305" s="8">
        <v>8.352</v>
      </c>
      <c r="P1305" s="68">
        <v>14.4237</v>
      </c>
      <c r="Q1305" s="7">
        <v>14.4237</v>
      </c>
      <c r="R1305" s="7">
        <v>14.4237</v>
      </c>
      <c r="S1305" s="8">
        <v>14.4237</v>
      </c>
    </row>
    <row r="1306" spans="1:19" s="12" customFormat="1" ht="16.5" customHeight="1">
      <c r="A1306" s="3"/>
      <c r="B1306" s="4" t="s">
        <v>13</v>
      </c>
      <c r="C1306" s="11">
        <f>(C1301*4+C1302*7+C1303*7+C1304*7+C1305*6)/31</f>
        <v>9.610474193548386</v>
      </c>
      <c r="D1306" s="11"/>
      <c r="E1306" s="11">
        <f>(E1301*4+E1302*7+E1303*7+E1304*7+E1305*6)/31</f>
        <v>10.766925806451614</v>
      </c>
      <c r="F1306" s="11">
        <f>(F1301*4+F1302*7+F1303*7+F1304*7+F1305*6)/31</f>
        <v>11.853248387096775</v>
      </c>
      <c r="G1306" s="11">
        <f aca="true" t="shared" si="194" ref="G1306:S1306">(G1301*4+G1302*7+G1303*7+G1304*7+G1305*6)/31</f>
        <v>20.112729032258063</v>
      </c>
      <c r="H1306" s="11">
        <f t="shared" si="194"/>
        <v>10.378335483870966</v>
      </c>
      <c r="I1306" s="11">
        <f t="shared" si="194"/>
        <v>8.576003225806451</v>
      </c>
      <c r="J1306" s="11">
        <f t="shared" si="194"/>
        <v>10.326890322580645</v>
      </c>
      <c r="K1306" s="11">
        <f t="shared" si="194"/>
        <v>10.873845161290323</v>
      </c>
      <c r="L1306" s="11">
        <f t="shared" si="194"/>
        <v>13.15288064516129</v>
      </c>
      <c r="M1306" s="11"/>
      <c r="N1306" s="11">
        <f t="shared" si="194"/>
        <v>8.613803225806453</v>
      </c>
      <c r="O1306" s="38">
        <f t="shared" si="194"/>
        <v>8.2616</v>
      </c>
      <c r="P1306" s="56">
        <f t="shared" si="194"/>
        <v>13.480712903225808</v>
      </c>
      <c r="Q1306" s="11">
        <f t="shared" si="194"/>
        <v>13.480712903225808</v>
      </c>
      <c r="R1306" s="48">
        <f t="shared" si="194"/>
        <v>13.480712903225808</v>
      </c>
      <c r="S1306" s="38">
        <f t="shared" si="194"/>
        <v>13.480712903225808</v>
      </c>
    </row>
    <row r="1307" spans="1:19" s="12" customFormat="1" ht="16.5" customHeight="1">
      <c r="A1307" s="3"/>
      <c r="B1307" s="13" t="s">
        <v>89</v>
      </c>
      <c r="C1307" s="7">
        <v>8.7962</v>
      </c>
      <c r="D1307" s="7"/>
      <c r="E1307" s="7">
        <v>10.023</v>
      </c>
      <c r="F1307" s="7">
        <v>11.192</v>
      </c>
      <c r="G1307" s="7">
        <v>19.9087</v>
      </c>
      <c r="H1307" s="14">
        <v>9.6355</v>
      </c>
      <c r="I1307" s="7">
        <v>8.061</v>
      </c>
      <c r="J1307" s="7">
        <v>10.0303</v>
      </c>
      <c r="K1307" s="7">
        <v>10.6861</v>
      </c>
      <c r="L1307" s="7">
        <v>13.4184</v>
      </c>
      <c r="M1307" s="7"/>
      <c r="N1307" s="7">
        <v>8.0166</v>
      </c>
      <c r="O1307" s="8">
        <v>7.9044</v>
      </c>
      <c r="P1307" s="68">
        <v>14.4237</v>
      </c>
      <c r="Q1307" s="7">
        <v>14.4237</v>
      </c>
      <c r="R1307" s="7">
        <v>14.4237</v>
      </c>
      <c r="S1307" s="8">
        <v>14.4237</v>
      </c>
    </row>
    <row r="1308" spans="1:19" s="12" customFormat="1" ht="16.5" customHeight="1">
      <c r="A1308" s="3"/>
      <c r="B1308" s="13" t="s">
        <v>327</v>
      </c>
      <c r="C1308" s="7">
        <v>8.8701</v>
      </c>
      <c r="D1308" s="7"/>
      <c r="E1308" s="7">
        <v>10.0805</v>
      </c>
      <c r="F1308" s="7">
        <v>11.2449</v>
      </c>
      <c r="G1308" s="7">
        <v>19.925</v>
      </c>
      <c r="H1308" s="14">
        <v>9.6949</v>
      </c>
      <c r="I1308" s="7">
        <v>8.3358</v>
      </c>
      <c r="J1308" s="7">
        <v>10.3254</v>
      </c>
      <c r="K1308" s="7">
        <v>11.0267</v>
      </c>
      <c r="L1308" s="7">
        <v>13.9491</v>
      </c>
      <c r="M1308" s="7"/>
      <c r="N1308" s="7">
        <v>8.2095</v>
      </c>
      <c r="O1308" s="8">
        <v>7.9117</v>
      </c>
      <c r="P1308" s="68">
        <v>15.2242</v>
      </c>
      <c r="Q1308" s="7">
        <v>15.2242</v>
      </c>
      <c r="R1308" s="7">
        <v>15.2242</v>
      </c>
      <c r="S1308" s="8">
        <v>15.2242</v>
      </c>
    </row>
    <row r="1309" spans="1:19" s="12" customFormat="1" ht="16.5" customHeight="1">
      <c r="A1309" s="3"/>
      <c r="B1309" s="13" t="s">
        <v>328</v>
      </c>
      <c r="C1309" s="7">
        <v>9.3619</v>
      </c>
      <c r="D1309" s="7"/>
      <c r="E1309" s="7">
        <v>10.5006</v>
      </c>
      <c r="F1309" s="7">
        <v>11.6261</v>
      </c>
      <c r="G1309" s="7">
        <v>20.0426</v>
      </c>
      <c r="H1309" s="14">
        <v>10.1232</v>
      </c>
      <c r="I1309" s="7">
        <v>8.9162</v>
      </c>
      <c r="J1309" s="7">
        <v>11.2072</v>
      </c>
      <c r="K1309" s="7">
        <v>11.9951</v>
      </c>
      <c r="L1309" s="7">
        <v>15.278</v>
      </c>
      <c r="M1309" s="7"/>
      <c r="N1309" s="7">
        <v>8.8764</v>
      </c>
      <c r="O1309" s="8">
        <v>8.3262</v>
      </c>
      <c r="P1309" s="68">
        <v>15.3576</v>
      </c>
      <c r="Q1309" s="7">
        <v>15.3576</v>
      </c>
      <c r="R1309" s="7">
        <v>15.3576</v>
      </c>
      <c r="S1309" s="8">
        <v>15.3576</v>
      </c>
    </row>
    <row r="1310" spans="1:19" s="12" customFormat="1" ht="16.5" customHeight="1">
      <c r="A1310" s="3"/>
      <c r="B1310" s="13" t="s">
        <v>329</v>
      </c>
      <c r="C1310" s="7">
        <v>9.3159</v>
      </c>
      <c r="D1310" s="7"/>
      <c r="E1310" s="7">
        <v>10.5389</v>
      </c>
      <c r="F1310" s="7">
        <v>11.6615</v>
      </c>
      <c r="G1310" s="7">
        <v>20.0535</v>
      </c>
      <c r="H1310" s="14">
        <v>10.1629</v>
      </c>
      <c r="I1310" s="7">
        <v>9.0665</v>
      </c>
      <c r="J1310" s="7">
        <v>11.4483</v>
      </c>
      <c r="K1310" s="7">
        <v>12.2302</v>
      </c>
      <c r="L1310" s="7">
        <v>15.4885</v>
      </c>
      <c r="M1310" s="7"/>
      <c r="N1310" s="7">
        <v>9.1307</v>
      </c>
      <c r="O1310" s="8">
        <v>8.6211</v>
      </c>
      <c r="P1310" s="68">
        <v>15.3496</v>
      </c>
      <c r="Q1310" s="7">
        <v>15.3496</v>
      </c>
      <c r="R1310" s="7">
        <v>15.3496</v>
      </c>
      <c r="S1310" s="8">
        <v>15.3496</v>
      </c>
    </row>
    <row r="1311" spans="1:19" s="12" customFormat="1" ht="16.5" customHeight="1">
      <c r="A1311" s="3"/>
      <c r="B1311" s="13" t="s">
        <v>330</v>
      </c>
      <c r="C1311" s="7">
        <v>9.8888</v>
      </c>
      <c r="D1311" s="7"/>
      <c r="E1311" s="7">
        <v>11.0605</v>
      </c>
      <c r="F1311" s="7">
        <v>12.1252</v>
      </c>
      <c r="G1311" s="7">
        <v>20.1967</v>
      </c>
      <c r="H1311" s="14">
        <v>10.6839</v>
      </c>
      <c r="I1311" s="7">
        <v>9.6862</v>
      </c>
      <c r="J1311" s="7">
        <v>11.9011</v>
      </c>
      <c r="K1311" s="7">
        <v>12.639</v>
      </c>
      <c r="L1311" s="7">
        <v>15.7139</v>
      </c>
      <c r="M1311" s="7"/>
      <c r="N1311" s="7">
        <v>9.6706</v>
      </c>
      <c r="O1311" s="8">
        <v>8.9373</v>
      </c>
      <c r="P1311" s="68">
        <v>15.3483</v>
      </c>
      <c r="Q1311" s="7">
        <v>15.3483</v>
      </c>
      <c r="R1311" s="7">
        <v>15.3483</v>
      </c>
      <c r="S1311" s="8">
        <v>15.3483</v>
      </c>
    </row>
    <row r="1312" spans="1:19" s="12" customFormat="1" ht="16.5" customHeight="1">
      <c r="A1312" s="3"/>
      <c r="B1312" s="13" t="s">
        <v>331</v>
      </c>
      <c r="C1312" s="7">
        <v>10.1541</v>
      </c>
      <c r="D1312" s="7"/>
      <c r="E1312" s="7">
        <v>11.2919</v>
      </c>
      <c r="F1312" s="7">
        <v>12.3315</v>
      </c>
      <c r="G1312" s="7">
        <v>20.2603</v>
      </c>
      <c r="H1312" s="14">
        <v>10.9156</v>
      </c>
      <c r="I1312" s="7">
        <v>9.9111</v>
      </c>
      <c r="J1312" s="7">
        <v>12.0597</v>
      </c>
      <c r="K1312" s="7">
        <v>12.7918</v>
      </c>
      <c r="L1312" s="7">
        <v>15.8422</v>
      </c>
      <c r="M1312" s="7"/>
      <c r="N1312" s="7">
        <v>9.8174</v>
      </c>
      <c r="O1312" s="8">
        <v>9.0362</v>
      </c>
      <c r="P1312" s="68">
        <v>15.3483</v>
      </c>
      <c r="Q1312" s="7">
        <v>15.3483</v>
      </c>
      <c r="R1312" s="7">
        <v>15.3483</v>
      </c>
      <c r="S1312" s="8">
        <v>15.3483</v>
      </c>
    </row>
    <row r="1313" spans="1:19" s="12" customFormat="1" ht="16.5" customHeight="1">
      <c r="A1313" s="3"/>
      <c r="B1313" s="4" t="s">
        <v>13</v>
      </c>
      <c r="C1313" s="11">
        <f>(C1307*1+C1308*7+C1309*7+C1310*7+C1311*7+C1312*1)/30</f>
        <v>9.366906666666667</v>
      </c>
      <c r="D1313" s="11"/>
      <c r="E1313" s="11">
        <f>(E1307*1+E1308*7+E1309*7+E1310*7+E1311*7+E1312*1)/30</f>
        <v>10.552613333333333</v>
      </c>
      <c r="F1313" s="11">
        <f aca="true" t="shared" si="195" ref="F1313:S1313">(F1307*1+F1308*7+F1309*7+F1310*7+F1311*7+F1312*1)/30</f>
        <v>11.670913333333333</v>
      </c>
      <c r="G1313" s="11">
        <f t="shared" si="195"/>
        <v>20.056453333333334</v>
      </c>
      <c r="H1313" s="11">
        <f t="shared" si="195"/>
        <v>10.173513333333334</v>
      </c>
      <c r="I1313" s="11">
        <f t="shared" si="195"/>
        <v>9.000166666666665</v>
      </c>
      <c r="J1313" s="11">
        <f t="shared" si="195"/>
        <v>11.2088</v>
      </c>
      <c r="K1313" s="11">
        <f t="shared" si="195"/>
        <v>11.957163333333336</v>
      </c>
      <c r="L1313" s="11">
        <f t="shared" si="195"/>
        <v>15.075569999999999</v>
      </c>
      <c r="M1313" s="11"/>
      <c r="N1313" s="11">
        <f t="shared" si="195"/>
        <v>8.968146666666666</v>
      </c>
      <c r="O1313" s="38">
        <f t="shared" si="195"/>
        <v>8.45049</v>
      </c>
      <c r="P1313" s="56">
        <f>(P1307*1+P1308*7+P1309*7+P1310*7+P1311*7+P1312*1)/30</f>
        <v>15.290996666666667</v>
      </c>
      <c r="Q1313" s="11">
        <f t="shared" si="195"/>
        <v>15.290996666666667</v>
      </c>
      <c r="R1313" s="48">
        <f t="shared" si="195"/>
        <v>15.290996666666667</v>
      </c>
      <c r="S1313" s="38">
        <f t="shared" si="195"/>
        <v>15.290996666666667</v>
      </c>
    </row>
    <row r="1314" spans="1:19" s="12" customFormat="1" ht="16.5" customHeight="1">
      <c r="A1314" s="3"/>
      <c r="B1314" s="13" t="s">
        <v>40</v>
      </c>
      <c r="C1314" s="7">
        <v>10.0719</v>
      </c>
      <c r="D1314" s="7"/>
      <c r="E1314" s="7">
        <v>11.2683</v>
      </c>
      <c r="F1314" s="7">
        <v>12.3111</v>
      </c>
      <c r="G1314" s="7">
        <v>20.254</v>
      </c>
      <c r="H1314" s="14">
        <v>10.8927</v>
      </c>
      <c r="I1314" s="7">
        <v>10.037</v>
      </c>
      <c r="J1314" s="7">
        <v>12.1097</v>
      </c>
      <c r="K1314" s="7">
        <v>12.8405</v>
      </c>
      <c r="L1314" s="7">
        <v>15.8855</v>
      </c>
      <c r="M1314" s="7"/>
      <c r="N1314" s="7">
        <v>9.8575</v>
      </c>
      <c r="O1314" s="8">
        <v>8.9158</v>
      </c>
      <c r="P1314" s="68">
        <v>15.2239</v>
      </c>
      <c r="Q1314" s="7">
        <v>15.2239</v>
      </c>
      <c r="R1314" s="7">
        <v>15.2239</v>
      </c>
      <c r="S1314" s="8">
        <v>15.2239</v>
      </c>
    </row>
    <row r="1315" spans="1:19" s="12" customFormat="1" ht="16.5" customHeight="1">
      <c r="A1315" s="3"/>
      <c r="B1315" s="13" t="s">
        <v>332</v>
      </c>
      <c r="C1315" s="7">
        <v>10.2849</v>
      </c>
      <c r="D1315" s="7"/>
      <c r="E1315" s="7">
        <v>11.4912</v>
      </c>
      <c r="F1315" s="7">
        <v>12.5112</v>
      </c>
      <c r="G1315" s="7">
        <v>20.3158</v>
      </c>
      <c r="H1315" s="14">
        <v>11.1176</v>
      </c>
      <c r="I1315" s="7">
        <v>10.3245</v>
      </c>
      <c r="J1315" s="7">
        <v>12.4234</v>
      </c>
      <c r="K1315" s="7">
        <v>13.1703</v>
      </c>
      <c r="L1315" s="7">
        <v>16.2823</v>
      </c>
      <c r="M1315" s="7"/>
      <c r="N1315" s="7">
        <v>10.1246</v>
      </c>
      <c r="O1315" s="8">
        <v>8.9039</v>
      </c>
      <c r="P1315" s="68">
        <v>15.2239</v>
      </c>
      <c r="Q1315" s="7">
        <v>15.2239</v>
      </c>
      <c r="R1315" s="7">
        <v>15.2239</v>
      </c>
      <c r="S1315" s="8">
        <v>15.2239</v>
      </c>
    </row>
    <row r="1316" spans="1:19" s="12" customFormat="1" ht="16.5" customHeight="1">
      <c r="A1316" s="3"/>
      <c r="B1316" s="13" t="s">
        <v>333</v>
      </c>
      <c r="C1316" s="7">
        <v>10.6593</v>
      </c>
      <c r="D1316" s="7"/>
      <c r="E1316" s="7">
        <v>11.8097</v>
      </c>
      <c r="F1316" s="7">
        <v>12.7957</v>
      </c>
      <c r="G1316" s="7">
        <v>20.4036</v>
      </c>
      <c r="H1316" s="14">
        <v>11.4372</v>
      </c>
      <c r="I1316" s="7">
        <v>10.7028</v>
      </c>
      <c r="J1316" s="7">
        <v>12.8061</v>
      </c>
      <c r="K1316" s="7">
        <v>13.5588</v>
      </c>
      <c r="L1316" s="7">
        <v>16.6952</v>
      </c>
      <c r="M1316" s="7"/>
      <c r="N1316" s="7">
        <v>10.4802</v>
      </c>
      <c r="O1316" s="8">
        <v>9.2608</v>
      </c>
      <c r="P1316" s="68">
        <v>15.6388</v>
      </c>
      <c r="Q1316" s="7">
        <v>15.6388</v>
      </c>
      <c r="R1316" s="7">
        <v>15.6388</v>
      </c>
      <c r="S1316" s="8">
        <v>15.6388</v>
      </c>
    </row>
    <row r="1317" spans="1:19" s="12" customFormat="1" ht="16.5" customHeight="1">
      <c r="A1317" s="3"/>
      <c r="B1317" s="13" t="s">
        <v>334</v>
      </c>
      <c r="C1317" s="7">
        <v>10.8045</v>
      </c>
      <c r="D1317" s="7"/>
      <c r="E1317" s="7">
        <v>11.9253</v>
      </c>
      <c r="F1317" s="7">
        <v>12.8976</v>
      </c>
      <c r="G1317" s="7">
        <v>20.4351</v>
      </c>
      <c r="H1317" s="14">
        <v>11.5516</v>
      </c>
      <c r="I1317" s="7">
        <v>10.7286</v>
      </c>
      <c r="J1317" s="7">
        <v>12.8459</v>
      </c>
      <c r="K1317" s="7">
        <v>13.5891</v>
      </c>
      <c r="L1317" s="7">
        <v>16.6859</v>
      </c>
      <c r="M1317" s="7"/>
      <c r="N1317" s="7">
        <v>10.5022</v>
      </c>
      <c r="O1317" s="8">
        <v>9.3021</v>
      </c>
      <c r="P1317" s="68">
        <v>15.708</v>
      </c>
      <c r="Q1317" s="7">
        <v>15.708</v>
      </c>
      <c r="R1317" s="7">
        <v>15.708</v>
      </c>
      <c r="S1317" s="8">
        <v>15.708</v>
      </c>
    </row>
    <row r="1318" spans="1:19" s="12" customFormat="1" ht="16.5" customHeight="1">
      <c r="A1318" s="3"/>
      <c r="B1318" s="13" t="s">
        <v>335</v>
      </c>
      <c r="C1318" s="7">
        <v>10.9649</v>
      </c>
      <c r="D1318" s="7"/>
      <c r="E1318" s="7">
        <v>12.0251</v>
      </c>
      <c r="F1318" s="7">
        <v>12.9865</v>
      </c>
      <c r="G1318" s="7">
        <v>20.4625</v>
      </c>
      <c r="H1318" s="14">
        <v>11.6515</v>
      </c>
      <c r="I1318" s="7">
        <v>10.8418</v>
      </c>
      <c r="J1318" s="7">
        <v>12.9032</v>
      </c>
      <c r="K1318" s="7">
        <v>13.6313</v>
      </c>
      <c r="L1318" s="7">
        <v>16.6652</v>
      </c>
      <c r="M1318" s="7"/>
      <c r="N1318" s="7">
        <v>10.6035</v>
      </c>
      <c r="O1318" s="8">
        <v>9.2654</v>
      </c>
      <c r="P1318" s="68">
        <v>16.3847</v>
      </c>
      <c r="Q1318" s="7">
        <v>16.3847</v>
      </c>
      <c r="R1318" s="7">
        <v>16.3847</v>
      </c>
      <c r="S1318" s="8">
        <v>16.3847</v>
      </c>
    </row>
    <row r="1319" spans="1:19" s="12" customFormat="1" ht="16.5" customHeight="1">
      <c r="A1319" s="3"/>
      <c r="B1319" s="4" t="s">
        <v>13</v>
      </c>
      <c r="C1319" s="11">
        <f>(C1314*6+C1315*7+C1316*7+C1317*7+C1318*4)/31</f>
        <v>10.533287096774194</v>
      </c>
      <c r="D1319" s="11"/>
      <c r="E1319" s="11">
        <f aca="true" t="shared" si="196" ref="E1319:S1319">(E1314*6+E1315*7+E1316*7+E1317*7+E1318*4)/31</f>
        <v>11.686890322580647</v>
      </c>
      <c r="F1319" s="11">
        <f t="shared" si="196"/>
        <v>12.685293548387097</v>
      </c>
      <c r="G1319" s="11">
        <f t="shared" si="196"/>
        <v>20.369532258064517</v>
      </c>
      <c r="H1319" s="11">
        <f t="shared" si="196"/>
        <v>11.313129032258065</v>
      </c>
      <c r="I1319" s="11">
        <f t="shared" si="196"/>
        <v>10.512274193548386</v>
      </c>
      <c r="J1319" s="11">
        <f t="shared" si="196"/>
        <v>12.606412903225808</v>
      </c>
      <c r="K1319" s="11">
        <f t="shared" si="196"/>
        <v>13.348245161290322</v>
      </c>
      <c r="L1319" s="11">
        <f>(L1314*6+L1315*7+L1316*7+L1317*7+L1318*4)/31</f>
        <v>16.43927741935484</v>
      </c>
      <c r="M1319" s="11"/>
      <c r="N1319" s="11">
        <f t="shared" si="196"/>
        <v>10.300258064516129</v>
      </c>
      <c r="O1319" s="38">
        <f t="shared" si="196"/>
        <v>9.123354838709677</v>
      </c>
      <c r="P1319" s="56">
        <f t="shared" si="196"/>
        <v>15.57668064516129</v>
      </c>
      <c r="Q1319" s="11">
        <f t="shared" si="196"/>
        <v>15.57668064516129</v>
      </c>
      <c r="R1319" s="48">
        <f t="shared" si="196"/>
        <v>15.57668064516129</v>
      </c>
      <c r="S1319" s="38">
        <f t="shared" si="196"/>
        <v>15.57668064516129</v>
      </c>
    </row>
    <row r="1320" spans="1:19" s="12" customFormat="1" ht="16.5" customHeight="1">
      <c r="A1320" s="20"/>
      <c r="B1320" s="19">
        <v>2021</v>
      </c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39"/>
      <c r="P1320" s="14"/>
      <c r="S1320" s="15"/>
    </row>
    <row r="1321" spans="1:19" s="12" customFormat="1" ht="16.5" customHeight="1">
      <c r="A1321" s="3"/>
      <c r="B1321" s="13" t="s">
        <v>212</v>
      </c>
      <c r="C1321" s="7">
        <v>11.0144</v>
      </c>
      <c r="D1321" s="7"/>
      <c r="E1321" s="7">
        <v>12.0752</v>
      </c>
      <c r="F1321" s="7">
        <v>12.9457</v>
      </c>
      <c r="G1321" s="7">
        <v>19.9107</v>
      </c>
      <c r="H1321" s="14">
        <v>11.702</v>
      </c>
      <c r="I1321" s="7">
        <v>10.8066</v>
      </c>
      <c r="J1321" s="7">
        <v>12.8572</v>
      </c>
      <c r="K1321" s="7">
        <v>13.5866</v>
      </c>
      <c r="L1321" s="7">
        <v>16.6254</v>
      </c>
      <c r="M1321" s="7"/>
      <c r="N1321" s="7">
        <v>10.5629</v>
      </c>
      <c r="O1321" s="8">
        <v>9.2056</v>
      </c>
      <c r="P1321" s="7">
        <v>16.6103</v>
      </c>
      <c r="Q1321" s="7">
        <v>16.6103</v>
      </c>
      <c r="R1321" s="7">
        <v>16.6103</v>
      </c>
      <c r="S1321" s="8">
        <v>16.6103</v>
      </c>
    </row>
    <row r="1322" spans="1:19" s="12" customFormat="1" ht="16.5" customHeight="1">
      <c r="A1322" s="3"/>
      <c r="B1322" s="13" t="s">
        <v>336</v>
      </c>
      <c r="C1322" s="7">
        <v>11.2989</v>
      </c>
      <c r="D1322" s="7"/>
      <c r="E1322" s="7">
        <v>12.4574</v>
      </c>
      <c r="F1322" s="7">
        <v>13.4281</v>
      </c>
      <c r="G1322" s="7">
        <v>20.9484</v>
      </c>
      <c r="H1322" s="14">
        <v>12.0852</v>
      </c>
      <c r="I1322" s="7">
        <v>10.9068</v>
      </c>
      <c r="J1322" s="7">
        <v>12.9901</v>
      </c>
      <c r="K1322" s="7">
        <v>13.7255</v>
      </c>
      <c r="L1322" s="7">
        <v>16.7897</v>
      </c>
      <c r="M1322" s="7"/>
      <c r="N1322" s="7">
        <v>10.6836</v>
      </c>
      <c r="O1322" s="8">
        <v>9.5582</v>
      </c>
      <c r="P1322" s="7">
        <v>16.6103</v>
      </c>
      <c r="Q1322" s="7">
        <v>16.6103</v>
      </c>
      <c r="R1322" s="7">
        <v>16.6103</v>
      </c>
      <c r="S1322" s="8">
        <v>16.6103</v>
      </c>
    </row>
    <row r="1323" spans="1:19" s="12" customFormat="1" ht="16.5" customHeight="1">
      <c r="A1323" s="3"/>
      <c r="B1323" s="13" t="s">
        <v>337</v>
      </c>
      <c r="C1323" s="7">
        <v>11.9235</v>
      </c>
      <c r="D1323" s="7"/>
      <c r="E1323" s="7">
        <v>13.1185</v>
      </c>
      <c r="F1323" s="7">
        <v>14.2038</v>
      </c>
      <c r="G1323" s="7">
        <v>22.373</v>
      </c>
      <c r="H1323" s="14">
        <v>12.7451</v>
      </c>
      <c r="I1323" s="7">
        <v>11.4761</v>
      </c>
      <c r="J1323" s="7">
        <v>13.5953</v>
      </c>
      <c r="K1323" s="7">
        <v>14.3388</v>
      </c>
      <c r="L1323" s="7">
        <v>17.4367</v>
      </c>
      <c r="M1323" s="7"/>
      <c r="N1323" s="7">
        <v>11.2604</v>
      </c>
      <c r="O1323" s="8">
        <v>10.0418</v>
      </c>
      <c r="P1323" s="7">
        <v>18.7179</v>
      </c>
      <c r="Q1323" s="7">
        <v>18.7179</v>
      </c>
      <c r="R1323" s="7">
        <v>18.7179</v>
      </c>
      <c r="S1323" s="8">
        <v>18.7179</v>
      </c>
    </row>
    <row r="1324" spans="1:19" s="12" customFormat="1" ht="16.5" customHeight="1">
      <c r="A1324" s="3"/>
      <c r="B1324" s="13" t="s">
        <v>101</v>
      </c>
      <c r="C1324" s="7">
        <v>11.8268</v>
      </c>
      <c r="D1324" s="7"/>
      <c r="E1324" s="7">
        <v>13.0437</v>
      </c>
      <c r="F1324" s="7">
        <v>14.1379</v>
      </c>
      <c r="G1324" s="7">
        <v>22.3527</v>
      </c>
      <c r="H1324" s="14">
        <v>12.671</v>
      </c>
      <c r="I1324" s="7">
        <v>11.4889</v>
      </c>
      <c r="J1324" s="7">
        <v>13.6384</v>
      </c>
      <c r="K1324" s="7">
        <v>14.389</v>
      </c>
      <c r="L1324" s="7">
        <v>17.5166</v>
      </c>
      <c r="M1324" s="7"/>
      <c r="N1324" s="7">
        <v>11.2814</v>
      </c>
      <c r="O1324" s="8">
        <v>9.9093</v>
      </c>
      <c r="P1324" s="7">
        <v>19.0692</v>
      </c>
      <c r="Q1324" s="7">
        <v>19.0692</v>
      </c>
      <c r="R1324" s="7">
        <v>19.0692</v>
      </c>
      <c r="S1324" s="8">
        <v>19.0692</v>
      </c>
    </row>
    <row r="1325" spans="1:19" s="12" customFormat="1" ht="16.5" customHeight="1">
      <c r="A1325" s="3"/>
      <c r="B1325" s="13" t="s">
        <v>338</v>
      </c>
      <c r="C1325" s="7">
        <v>11.899</v>
      </c>
      <c r="D1325" s="7"/>
      <c r="E1325" s="7">
        <v>13.1303</v>
      </c>
      <c r="F1325" s="7">
        <v>14.215</v>
      </c>
      <c r="G1325" s="7">
        <v>22.3765</v>
      </c>
      <c r="H1325" s="14">
        <v>12.7576</v>
      </c>
      <c r="I1325" s="7">
        <v>11.3092</v>
      </c>
      <c r="J1325" s="7">
        <v>13.5228</v>
      </c>
      <c r="K1325" s="7">
        <v>14.2592</v>
      </c>
      <c r="L1325" s="7">
        <v>17.3274</v>
      </c>
      <c r="M1325" s="7"/>
      <c r="N1325" s="7">
        <v>11.2031</v>
      </c>
      <c r="O1325" s="8">
        <v>9.954</v>
      </c>
      <c r="P1325" s="7">
        <v>20.0323</v>
      </c>
      <c r="Q1325" s="7">
        <v>20.0323</v>
      </c>
      <c r="R1325" s="7">
        <v>20.0323</v>
      </c>
      <c r="S1325" s="8">
        <v>20.0323</v>
      </c>
    </row>
    <row r="1326" spans="1:19" s="12" customFormat="1" ht="16.5" customHeight="1">
      <c r="A1326" s="3"/>
      <c r="B1326" s="4" t="s">
        <v>13</v>
      </c>
      <c r="C1326" s="11">
        <f>(C1321*3+C1322*7+C1323*7+C1324*7+C1325*7)/31</f>
        <v>11.667116129032259</v>
      </c>
      <c r="D1326" s="11"/>
      <c r="E1326" s="11">
        <f aca="true" t="shared" si="197" ref="E1326:S1326">(E1321*3+E1322*7+E1323*7+E1324*7+E1325*7)/31</f>
        <v>12.854029032258063</v>
      </c>
      <c r="F1326" s="11">
        <f t="shared" si="197"/>
        <v>13.89453870967742</v>
      </c>
      <c r="G1326" s="11">
        <f t="shared" si="197"/>
        <v>21.809235483870967</v>
      </c>
      <c r="H1326" s="11">
        <f t="shared" si="197"/>
        <v>12.481235483870968</v>
      </c>
      <c r="I1326" s="11">
        <f t="shared" si="197"/>
        <v>11.24796129032258</v>
      </c>
      <c r="J1326" s="11">
        <f>(J1321*3+J1322*7+J1323*7+J1324*7+J1325*7)/31</f>
        <v>13.380574193548387</v>
      </c>
      <c r="K1326" s="11">
        <f t="shared" si="197"/>
        <v>14.12088064516129</v>
      </c>
      <c r="L1326" s="11">
        <f t="shared" si="197"/>
        <v>17.205451612903225</v>
      </c>
      <c r="M1326" s="11"/>
      <c r="N1326" s="11">
        <f t="shared" si="197"/>
        <v>11.05445806451613</v>
      </c>
      <c r="O1326" s="38">
        <f t="shared" si="197"/>
        <v>9.801932258064516</v>
      </c>
      <c r="P1326" s="11">
        <f t="shared" si="197"/>
        <v>18.414154838709678</v>
      </c>
      <c r="Q1326" s="11">
        <f t="shared" si="197"/>
        <v>18.414154838709678</v>
      </c>
      <c r="R1326" s="48">
        <f t="shared" si="197"/>
        <v>18.414154838709678</v>
      </c>
      <c r="S1326" s="38">
        <f t="shared" si="197"/>
        <v>18.414154838709678</v>
      </c>
    </row>
    <row r="1327" spans="1:19" s="12" customFormat="1" ht="16.5" customHeight="1">
      <c r="A1327" s="3"/>
      <c r="B1327" s="13" t="s">
        <v>221</v>
      </c>
      <c r="C1327" s="7">
        <v>12.3358</v>
      </c>
      <c r="D1327" s="7"/>
      <c r="E1327" s="7">
        <v>13.3952</v>
      </c>
      <c r="F1327" s="7">
        <v>14.3199</v>
      </c>
      <c r="G1327" s="7">
        <v>21.5861</v>
      </c>
      <c r="H1327" s="14">
        <v>13.0224</v>
      </c>
      <c r="I1327" s="7">
        <v>11.7532</v>
      </c>
      <c r="J1327" s="7">
        <v>13.9317</v>
      </c>
      <c r="K1327" s="7">
        <v>14.6432</v>
      </c>
      <c r="L1327" s="7">
        <v>17.6076</v>
      </c>
      <c r="M1327" s="7"/>
      <c r="N1327" s="7">
        <v>11.668</v>
      </c>
      <c r="O1327" s="8">
        <v>10.3956</v>
      </c>
      <c r="P1327" s="7">
        <v>20.1928</v>
      </c>
      <c r="Q1327" s="7">
        <v>20.1928</v>
      </c>
      <c r="R1327" s="7">
        <v>20.1928</v>
      </c>
      <c r="S1327" s="8">
        <v>20.1928</v>
      </c>
    </row>
    <row r="1328" spans="1:19" s="12" customFormat="1" ht="16.5" customHeight="1">
      <c r="A1328" s="3"/>
      <c r="B1328" s="13" t="s">
        <v>339</v>
      </c>
      <c r="C1328" s="7">
        <v>12.8315</v>
      </c>
      <c r="D1328" s="7"/>
      <c r="E1328" s="7">
        <v>13.8274</v>
      </c>
      <c r="F1328" s="7">
        <v>14.705</v>
      </c>
      <c r="G1328" s="7">
        <v>21.705</v>
      </c>
      <c r="H1328" s="14">
        <v>13.455</v>
      </c>
      <c r="I1328" s="7">
        <v>12.4137</v>
      </c>
      <c r="J1328" s="7">
        <v>14.6796</v>
      </c>
      <c r="K1328" s="7">
        <v>15.403</v>
      </c>
      <c r="L1328" s="7">
        <v>18.4169</v>
      </c>
      <c r="M1328" s="7"/>
      <c r="N1328" s="7">
        <v>12.3895</v>
      </c>
      <c r="O1328" s="8">
        <v>10.9338</v>
      </c>
      <c r="P1328" s="7">
        <v>18.9158</v>
      </c>
      <c r="Q1328" s="7">
        <v>18.9158</v>
      </c>
      <c r="R1328" s="7">
        <v>18.9158</v>
      </c>
      <c r="S1328" s="8">
        <v>18.9158</v>
      </c>
    </row>
    <row r="1329" spans="1:19" s="12" customFormat="1" ht="16.5" customHeight="1">
      <c r="A1329" s="3"/>
      <c r="B1329" s="13" t="s">
        <v>340</v>
      </c>
      <c r="C1329" s="7">
        <v>13.3861</v>
      </c>
      <c r="D1329" s="7"/>
      <c r="E1329" s="7">
        <v>14.3465</v>
      </c>
      <c r="F1329" s="7">
        <v>15.1673</v>
      </c>
      <c r="G1329" s="7">
        <v>21.8477</v>
      </c>
      <c r="H1329" s="14">
        <v>13.9744</v>
      </c>
      <c r="I1329" s="7">
        <v>12.9014</v>
      </c>
      <c r="J1329" s="7">
        <v>15.1089</v>
      </c>
      <c r="K1329" s="7">
        <v>15.8235</v>
      </c>
      <c r="L1329" s="7">
        <v>18.8011</v>
      </c>
      <c r="M1329" s="7"/>
      <c r="N1329" s="7">
        <v>12.835</v>
      </c>
      <c r="O1329" s="8">
        <v>11.248</v>
      </c>
      <c r="P1329" s="7">
        <v>18.703</v>
      </c>
      <c r="Q1329" s="7">
        <v>18.703</v>
      </c>
      <c r="R1329" s="7">
        <v>18.703</v>
      </c>
      <c r="S1329" s="8">
        <v>18.703</v>
      </c>
    </row>
    <row r="1330" spans="1:19" s="12" customFormat="1" ht="16.5" customHeight="1">
      <c r="A1330" s="3"/>
      <c r="B1330" s="13" t="s">
        <v>341</v>
      </c>
      <c r="C1330" s="7">
        <v>13.9584</v>
      </c>
      <c r="D1330" s="7"/>
      <c r="E1330" s="7">
        <v>14.8184</v>
      </c>
      <c r="F1330" s="7">
        <v>15.5866</v>
      </c>
      <c r="G1330" s="7">
        <v>21.9771</v>
      </c>
      <c r="H1330" s="14">
        <v>14.4454</v>
      </c>
      <c r="I1330" s="7">
        <v>13.232</v>
      </c>
      <c r="J1330" s="7">
        <v>15.4372</v>
      </c>
      <c r="K1330" s="7">
        <v>16.1408</v>
      </c>
      <c r="L1330" s="7">
        <v>19.0726</v>
      </c>
      <c r="M1330" s="7"/>
      <c r="N1330" s="7">
        <v>13.1833</v>
      </c>
      <c r="O1330" s="8">
        <v>11.4105</v>
      </c>
      <c r="P1330" s="7">
        <v>18.1416</v>
      </c>
      <c r="Q1330" s="7">
        <v>18.1416</v>
      </c>
      <c r="R1330" s="7">
        <v>18.1416</v>
      </c>
      <c r="S1330" s="8">
        <v>18.1416</v>
      </c>
    </row>
    <row r="1331" spans="1:19" s="12" customFormat="1" ht="16.5" customHeight="1">
      <c r="A1331" s="3"/>
      <c r="B1331" s="4" t="s">
        <v>13</v>
      </c>
      <c r="C1331" s="11">
        <f>(C1327*7+C1328*7+C1329*7+C1330*7)/28</f>
        <v>13.12795</v>
      </c>
      <c r="D1331" s="11"/>
      <c r="E1331" s="11">
        <f>(E1327*7+E1328*7+E1329*7+E1330*7)/28</f>
        <v>14.096874999999999</v>
      </c>
      <c r="F1331" s="11">
        <f aca="true" t="shared" si="198" ref="F1331:S1331">(F1327*7+F1328*7+F1329*7+F1330*7)/28</f>
        <v>14.944700000000001</v>
      </c>
      <c r="G1331" s="11">
        <f t="shared" si="198"/>
        <v>21.778975</v>
      </c>
      <c r="H1331" s="11">
        <f t="shared" si="198"/>
        <v>13.7243</v>
      </c>
      <c r="I1331" s="11">
        <f t="shared" si="198"/>
        <v>12.575074999999998</v>
      </c>
      <c r="J1331" s="11">
        <f t="shared" si="198"/>
        <v>14.78935</v>
      </c>
      <c r="K1331" s="11">
        <f t="shared" si="198"/>
        <v>15.502624999999998</v>
      </c>
      <c r="L1331" s="11">
        <f t="shared" si="198"/>
        <v>18.47455</v>
      </c>
      <c r="M1331" s="11"/>
      <c r="N1331" s="11">
        <f t="shared" si="198"/>
        <v>12.518949999999998</v>
      </c>
      <c r="O1331" s="38">
        <f t="shared" si="198"/>
        <v>10.996975</v>
      </c>
      <c r="P1331" s="11">
        <f t="shared" si="198"/>
        <v>18.988300000000002</v>
      </c>
      <c r="Q1331" s="11">
        <f t="shared" si="198"/>
        <v>18.988300000000002</v>
      </c>
      <c r="R1331" s="48">
        <f t="shared" si="198"/>
        <v>18.988300000000002</v>
      </c>
      <c r="S1331" s="38">
        <f t="shared" si="198"/>
        <v>18.988300000000002</v>
      </c>
    </row>
    <row r="1332" spans="1:19" s="12" customFormat="1" ht="16.5" customHeight="1">
      <c r="A1332" s="3"/>
      <c r="B1332" s="13" t="s">
        <v>54</v>
      </c>
      <c r="C1332" s="7">
        <v>14.0856</v>
      </c>
      <c r="D1332" s="7"/>
      <c r="E1332" s="7">
        <v>14.9492</v>
      </c>
      <c r="F1332" s="7">
        <v>15.6998</v>
      </c>
      <c r="G1332" s="7">
        <v>22.0121</v>
      </c>
      <c r="H1332" s="14">
        <v>14.5727</v>
      </c>
      <c r="I1332" s="7">
        <v>13.1509</v>
      </c>
      <c r="J1332" s="7">
        <v>15.2762</v>
      </c>
      <c r="K1332" s="7">
        <v>15.9377</v>
      </c>
      <c r="L1332" s="7">
        <v>18.694</v>
      </c>
      <c r="M1332" s="7"/>
      <c r="N1332" s="7">
        <v>13.1576</v>
      </c>
      <c r="O1332" s="8">
        <v>11.5243</v>
      </c>
      <c r="P1332" s="7">
        <v>18.048</v>
      </c>
      <c r="Q1332" s="7">
        <v>18.048</v>
      </c>
      <c r="R1332" s="7">
        <v>18.048</v>
      </c>
      <c r="S1332" s="8">
        <v>18.048</v>
      </c>
    </row>
    <row r="1333" spans="1:19" s="12" customFormat="1" ht="16.5" customHeight="1">
      <c r="A1333" s="3"/>
      <c r="B1333" s="13" t="s">
        <v>55</v>
      </c>
      <c r="C1333" s="7">
        <v>14.841</v>
      </c>
      <c r="D1333" s="7"/>
      <c r="E1333" s="7">
        <v>15.6173</v>
      </c>
      <c r="F1333" s="7">
        <v>16.2908</v>
      </c>
      <c r="G1333" s="7">
        <v>22.1944</v>
      </c>
      <c r="H1333" s="14">
        <v>15.2366</v>
      </c>
      <c r="I1333" s="7">
        <v>13.684</v>
      </c>
      <c r="J1333" s="7">
        <v>15.6932</v>
      </c>
      <c r="K1333" s="7">
        <v>16.3139</v>
      </c>
      <c r="L1333" s="7">
        <v>18.9003</v>
      </c>
      <c r="M1333" s="7"/>
      <c r="N1333" s="7">
        <v>13.7137</v>
      </c>
      <c r="O1333" s="8">
        <v>12.3181</v>
      </c>
      <c r="P1333" s="7">
        <v>18.072</v>
      </c>
      <c r="Q1333" s="7">
        <v>18.072</v>
      </c>
      <c r="R1333" s="7">
        <v>18.072</v>
      </c>
      <c r="S1333" s="8">
        <v>18.072</v>
      </c>
    </row>
    <row r="1334" spans="1:19" s="12" customFormat="1" ht="16.5" customHeight="1">
      <c r="A1334" s="3"/>
      <c r="B1334" s="13" t="s">
        <v>56</v>
      </c>
      <c r="C1334" s="7">
        <v>15.0474</v>
      </c>
      <c r="D1334" s="7"/>
      <c r="E1334" s="7">
        <v>15.7709</v>
      </c>
      <c r="F1334" s="7">
        <v>16.4264</v>
      </c>
      <c r="G1334" s="7">
        <v>22.2363</v>
      </c>
      <c r="H1334" s="14">
        <v>15.389</v>
      </c>
      <c r="I1334" s="7">
        <v>13.6152</v>
      </c>
      <c r="J1334" s="7">
        <v>15.5874</v>
      </c>
      <c r="K1334" s="7">
        <v>16.1949</v>
      </c>
      <c r="L1334" s="7">
        <v>18.7263</v>
      </c>
      <c r="M1334" s="7"/>
      <c r="N1334" s="7">
        <v>13.6487</v>
      </c>
      <c r="O1334" s="8">
        <v>12.3566</v>
      </c>
      <c r="P1334" s="7">
        <v>18.076</v>
      </c>
      <c r="Q1334" s="7">
        <v>18.076</v>
      </c>
      <c r="R1334" s="7">
        <v>18.076</v>
      </c>
      <c r="S1334" s="8">
        <v>18.076</v>
      </c>
    </row>
    <row r="1335" spans="1:19" s="12" customFormat="1" ht="16.5" customHeight="1">
      <c r="A1335" s="3"/>
      <c r="B1335" s="13" t="s">
        <v>57</v>
      </c>
      <c r="C1335" s="7">
        <v>14.3657</v>
      </c>
      <c r="D1335" s="7"/>
      <c r="E1335" s="7">
        <v>15.0726</v>
      </c>
      <c r="F1335" s="7">
        <v>15.802</v>
      </c>
      <c r="G1335" s="7">
        <v>22.0436</v>
      </c>
      <c r="H1335" s="14">
        <v>14.6875</v>
      </c>
      <c r="I1335" s="7">
        <v>12.8764</v>
      </c>
      <c r="J1335" s="7">
        <v>14.8397</v>
      </c>
      <c r="K1335" s="7">
        <v>15.4459</v>
      </c>
      <c r="L1335" s="7">
        <v>17.9716</v>
      </c>
      <c r="M1335" s="7"/>
      <c r="N1335" s="7">
        <v>12.9022</v>
      </c>
      <c r="O1335" s="8">
        <v>11.6879</v>
      </c>
      <c r="P1335" s="7">
        <v>17.9687</v>
      </c>
      <c r="Q1335" s="7">
        <v>17.9687</v>
      </c>
      <c r="R1335" s="7">
        <v>17.9687</v>
      </c>
      <c r="S1335" s="8">
        <v>17.9687</v>
      </c>
    </row>
    <row r="1336" spans="1:19" s="12" customFormat="1" ht="16.5" customHeight="1">
      <c r="A1336" s="3"/>
      <c r="B1336" s="13" t="s">
        <v>58</v>
      </c>
      <c r="C1336" s="7">
        <v>14.6376</v>
      </c>
      <c r="D1336" s="7"/>
      <c r="E1336" s="7">
        <v>15.2961</v>
      </c>
      <c r="F1336" s="7">
        <v>15.9989</v>
      </c>
      <c r="G1336" s="7">
        <v>22.1043</v>
      </c>
      <c r="H1336" s="14">
        <v>14.9086</v>
      </c>
      <c r="I1336" s="7">
        <v>12.9755</v>
      </c>
      <c r="J1336" s="7">
        <v>14.8226</v>
      </c>
      <c r="K1336" s="7">
        <v>15.3915</v>
      </c>
      <c r="L1336" s="7">
        <v>17.7617</v>
      </c>
      <c r="M1336" s="7"/>
      <c r="N1336" s="7">
        <v>12.9908</v>
      </c>
      <c r="O1336" s="8">
        <v>11.7222</v>
      </c>
      <c r="P1336" s="7">
        <v>17.9508</v>
      </c>
      <c r="Q1336" s="7">
        <v>17.9508</v>
      </c>
      <c r="R1336" s="7">
        <v>17.9508</v>
      </c>
      <c r="S1336" s="8">
        <v>17.9508</v>
      </c>
    </row>
    <row r="1337" spans="1:19" s="12" customFormat="1" ht="16.5" customHeight="1">
      <c r="A1337" s="3"/>
      <c r="B1337" s="4" t="s">
        <v>13</v>
      </c>
      <c r="C1337" s="11">
        <f>(C1332*7+C1333*7+C1334*7+C1335*7+C1336*3)/31</f>
        <v>14.59002258064516</v>
      </c>
      <c r="D1337" s="11"/>
      <c r="E1337" s="11">
        <f aca="true" t="shared" si="199" ref="E1337:S1337">(E1332*7+E1333*7+E1334*7+E1335*7+E1336*3)/31</f>
        <v>15.34704193548387</v>
      </c>
      <c r="F1337" s="11">
        <f t="shared" si="199"/>
        <v>16.049345161290326</v>
      </c>
      <c r="G1337" s="11">
        <f t="shared" si="199"/>
        <v>22.119925806451615</v>
      </c>
      <c r="H1337" s="11">
        <f t="shared" si="199"/>
        <v>14.965367741935484</v>
      </c>
      <c r="I1337" s="11">
        <f t="shared" si="199"/>
        <v>13.297161290322581</v>
      </c>
      <c r="J1337" s="11">
        <f t="shared" si="199"/>
        <v>15.298170967741937</v>
      </c>
      <c r="K1337" s="11">
        <f t="shared" si="199"/>
        <v>15.91681612903226</v>
      </c>
      <c r="L1337" s="11">
        <f t="shared" si="199"/>
        <v>18.494532258064517</v>
      </c>
      <c r="M1337" s="11"/>
      <c r="N1337" s="11">
        <f t="shared" si="199"/>
        <v>13.320251612903226</v>
      </c>
      <c r="O1337" s="38">
        <f t="shared" si="199"/>
        <v>11.94757741935484</v>
      </c>
      <c r="P1337" s="11">
        <f t="shared" si="199"/>
        <v>18.03242903225806</v>
      </c>
      <c r="Q1337" s="11">
        <f t="shared" si="199"/>
        <v>18.03242903225806</v>
      </c>
      <c r="R1337" s="48">
        <f t="shared" si="199"/>
        <v>18.03242903225806</v>
      </c>
      <c r="S1337" s="38">
        <f t="shared" si="199"/>
        <v>18.03242903225806</v>
      </c>
    </row>
    <row r="1338" spans="1:19" s="12" customFormat="1" ht="16.5" customHeight="1">
      <c r="A1338" s="3"/>
      <c r="B1338" s="13" t="s">
        <v>226</v>
      </c>
      <c r="C1338" s="7">
        <v>14.8682</v>
      </c>
      <c r="D1338" s="7"/>
      <c r="E1338" s="7">
        <v>15.5163</v>
      </c>
      <c r="F1338" s="7">
        <v>16.305</v>
      </c>
      <c r="G1338" s="7">
        <v>22.8971</v>
      </c>
      <c r="H1338" s="14">
        <v>15.1278</v>
      </c>
      <c r="I1338" s="7">
        <v>12.8795</v>
      </c>
      <c r="J1338" s="7">
        <v>14.7562</v>
      </c>
      <c r="K1338" s="7">
        <v>15.3267</v>
      </c>
      <c r="L1338" s="7">
        <v>17.704</v>
      </c>
      <c r="M1338" s="7"/>
      <c r="N1338" s="7">
        <v>12.9249</v>
      </c>
      <c r="O1338" s="8">
        <v>11.6395</v>
      </c>
      <c r="P1338" s="7">
        <v>17.9508</v>
      </c>
      <c r="Q1338" s="7">
        <v>17.9508</v>
      </c>
      <c r="R1338" s="7">
        <v>17.9508</v>
      </c>
      <c r="S1338" s="8">
        <v>17.9508</v>
      </c>
    </row>
    <row r="1339" spans="1:19" s="12" customFormat="1" ht="16.5" customHeight="1">
      <c r="A1339" s="3"/>
      <c r="B1339" s="13" t="s">
        <v>59</v>
      </c>
      <c r="C1339" s="7">
        <v>14.6983</v>
      </c>
      <c r="D1339" s="7"/>
      <c r="E1339" s="7">
        <v>15.3825</v>
      </c>
      <c r="F1339" s="7">
        <v>16.185</v>
      </c>
      <c r="G1339" s="7">
        <v>22.8601</v>
      </c>
      <c r="H1339" s="14">
        <v>14.993</v>
      </c>
      <c r="I1339" s="7">
        <v>12.9176</v>
      </c>
      <c r="J1339" s="7">
        <v>14.7179</v>
      </c>
      <c r="K1339" s="7">
        <v>15.246</v>
      </c>
      <c r="L1339" s="7">
        <v>17.4464</v>
      </c>
      <c r="M1339" s="7"/>
      <c r="N1339" s="7">
        <v>12.9643</v>
      </c>
      <c r="O1339" s="8">
        <v>11.4241</v>
      </c>
      <c r="P1339" s="7">
        <v>17.7289</v>
      </c>
      <c r="Q1339" s="7">
        <v>17.7289</v>
      </c>
      <c r="R1339" s="7">
        <v>17.7289</v>
      </c>
      <c r="S1339" s="8">
        <v>17.7289</v>
      </c>
    </row>
    <row r="1340" spans="1:19" s="12" customFormat="1" ht="16.5" customHeight="1">
      <c r="A1340" s="3"/>
      <c r="B1340" s="13" t="s">
        <v>60</v>
      </c>
      <c r="C1340" s="7">
        <v>14.9603</v>
      </c>
      <c r="D1340" s="7"/>
      <c r="E1340" s="7">
        <v>15.6333</v>
      </c>
      <c r="F1340" s="7">
        <v>16.407</v>
      </c>
      <c r="G1340" s="7">
        <v>22.9286</v>
      </c>
      <c r="H1340" s="14">
        <v>15.2424</v>
      </c>
      <c r="I1340" s="7">
        <v>13.4164</v>
      </c>
      <c r="J1340" s="7">
        <v>15.0547</v>
      </c>
      <c r="K1340" s="7">
        <v>15.5662</v>
      </c>
      <c r="L1340" s="7">
        <v>17.6974</v>
      </c>
      <c r="M1340" s="7"/>
      <c r="N1340" s="7">
        <v>13.3253</v>
      </c>
      <c r="O1340" s="8">
        <v>11.7562</v>
      </c>
      <c r="P1340" s="7">
        <v>17.6401</v>
      </c>
      <c r="Q1340" s="7">
        <v>17.6401</v>
      </c>
      <c r="R1340" s="7">
        <v>17.6401</v>
      </c>
      <c r="S1340" s="8">
        <v>17.6401</v>
      </c>
    </row>
    <row r="1341" spans="1:19" s="12" customFormat="1" ht="16.5" customHeight="1">
      <c r="A1341" s="3"/>
      <c r="B1341" s="13" t="s">
        <v>61</v>
      </c>
      <c r="C1341" s="7">
        <v>15.2233</v>
      </c>
      <c r="D1341" s="7"/>
      <c r="E1341" s="7">
        <v>15.8456</v>
      </c>
      <c r="F1341" s="7">
        <v>16.5979</v>
      </c>
      <c r="G1341" s="7">
        <v>22.9875</v>
      </c>
      <c r="H1341" s="14">
        <v>15.4569</v>
      </c>
      <c r="I1341" s="7">
        <v>13.7972</v>
      </c>
      <c r="J1341" s="7">
        <v>15.3385</v>
      </c>
      <c r="K1341" s="7">
        <v>15.8856</v>
      </c>
      <c r="L1341" s="7">
        <v>18.1652</v>
      </c>
      <c r="M1341" s="7"/>
      <c r="N1341" s="7">
        <v>13.5165</v>
      </c>
      <c r="O1341" s="8">
        <v>12.0996</v>
      </c>
      <c r="P1341" s="7">
        <v>16.6688</v>
      </c>
      <c r="Q1341" s="7">
        <v>16.6688</v>
      </c>
      <c r="R1341" s="7">
        <v>16.6688</v>
      </c>
      <c r="S1341" s="8">
        <v>16.6688</v>
      </c>
    </row>
    <row r="1342" spans="1:19" s="12" customFormat="1" ht="16.5" customHeight="1">
      <c r="A1342" s="3"/>
      <c r="B1342" s="13" t="s">
        <v>62</v>
      </c>
      <c r="C1342" s="7">
        <v>15.0715</v>
      </c>
      <c r="D1342" s="7"/>
      <c r="E1342" s="7">
        <v>15.705</v>
      </c>
      <c r="F1342" s="7">
        <v>16.4718</v>
      </c>
      <c r="G1342" s="7">
        <v>22.9486</v>
      </c>
      <c r="H1342" s="14">
        <v>15.3153</v>
      </c>
      <c r="I1342" s="7">
        <v>13.8842</v>
      </c>
      <c r="J1342" s="7">
        <v>15.3519</v>
      </c>
      <c r="K1342" s="7">
        <v>15.8878</v>
      </c>
      <c r="L1342" s="7">
        <v>18.121</v>
      </c>
      <c r="M1342" s="7"/>
      <c r="N1342" s="7">
        <v>13.5305</v>
      </c>
      <c r="O1342" s="8">
        <v>11.9913</v>
      </c>
      <c r="P1342" s="7">
        <v>16.5069</v>
      </c>
      <c r="Q1342" s="7">
        <v>16.5069</v>
      </c>
      <c r="R1342" s="7">
        <v>16.5069</v>
      </c>
      <c r="S1342" s="8">
        <v>16.5069</v>
      </c>
    </row>
    <row r="1343" spans="1:19" s="12" customFormat="1" ht="16.5" customHeight="1">
      <c r="A1343" s="3"/>
      <c r="B1343" s="4" t="s">
        <v>13</v>
      </c>
      <c r="C1343" s="11">
        <f>(C1338*4+C1339*7+C1340*7+C1341*7+C1342*5)/30</f>
        <v>14.966786666666668</v>
      </c>
      <c r="D1343" s="11"/>
      <c r="E1343" s="11">
        <f>(E1338*4+E1339*7+E1340*7+E1341*7+E1342*5)/30</f>
        <v>15.620666666666667</v>
      </c>
      <c r="F1343" s="11">
        <f aca="true" t="shared" si="200" ref="F1343:S1343">(F1338*4+F1339*7+F1340*7+F1341*7+F1342*5)/30</f>
        <v>16.396943333333333</v>
      </c>
      <c r="G1343" s="11">
        <f t="shared" si="200"/>
        <v>22.925493333333332</v>
      </c>
      <c r="H1343" s="11">
        <f t="shared" si="200"/>
        <v>15.231126666666666</v>
      </c>
      <c r="I1343" s="11">
        <f t="shared" si="200"/>
        <v>13.395246666666667</v>
      </c>
      <c r="J1343" s="11">
        <f t="shared" si="200"/>
        <v>15.052066666666667</v>
      </c>
      <c r="K1343" s="11">
        <f t="shared" si="200"/>
        <v>15.587680000000002</v>
      </c>
      <c r="L1343" s="11">
        <f t="shared" si="200"/>
        <v>17.819466666666667</v>
      </c>
      <c r="M1343" s="11"/>
      <c r="N1343" s="11">
        <f t="shared" si="200"/>
        <v>13.266493333333335</v>
      </c>
      <c r="O1343" s="38">
        <f t="shared" si="200"/>
        <v>11.782459999999999</v>
      </c>
      <c r="P1343" s="11">
        <f t="shared" si="200"/>
        <v>17.286743333333334</v>
      </c>
      <c r="Q1343" s="11">
        <f t="shared" si="200"/>
        <v>17.286743333333334</v>
      </c>
      <c r="R1343" s="48">
        <f t="shared" si="200"/>
        <v>17.286743333333334</v>
      </c>
      <c r="S1343" s="38">
        <f t="shared" si="200"/>
        <v>17.286743333333334</v>
      </c>
    </row>
    <row r="1344" spans="1:19" s="12" customFormat="1" ht="16.5" customHeight="1">
      <c r="A1344" s="3"/>
      <c r="B1344" s="13" t="s">
        <v>230</v>
      </c>
      <c r="C1344" s="7">
        <v>15.3852</v>
      </c>
      <c r="D1344" s="7"/>
      <c r="E1344" s="7">
        <v>16.0022</v>
      </c>
      <c r="F1344" s="7">
        <v>16.737</v>
      </c>
      <c r="G1344" s="7">
        <v>23.0235</v>
      </c>
      <c r="H1344" s="14">
        <v>15.6144</v>
      </c>
      <c r="I1344" s="7">
        <v>14.1845</v>
      </c>
      <c r="J1344" s="7">
        <v>15.615</v>
      </c>
      <c r="K1344" s="7">
        <v>16.1442</v>
      </c>
      <c r="L1344" s="7">
        <v>18.3493</v>
      </c>
      <c r="M1344" s="7"/>
      <c r="N1344" s="7">
        <v>13.7909</v>
      </c>
      <c r="O1344" s="8">
        <v>12.2176</v>
      </c>
      <c r="P1344" s="7">
        <v>16.5069</v>
      </c>
      <c r="Q1344" s="7">
        <v>16.5069</v>
      </c>
      <c r="R1344" s="7">
        <v>16.5069</v>
      </c>
      <c r="S1344" s="8">
        <v>16.5069</v>
      </c>
    </row>
    <row r="1345" spans="1:19" s="12" customFormat="1" ht="16.5" customHeight="1">
      <c r="A1345" s="3"/>
      <c r="B1345" s="13" t="s">
        <v>63</v>
      </c>
      <c r="C1345" s="7">
        <v>15.5857</v>
      </c>
      <c r="D1345" s="7"/>
      <c r="E1345" s="7">
        <v>16.2232</v>
      </c>
      <c r="F1345" s="7">
        <v>16.934</v>
      </c>
      <c r="G1345" s="7">
        <v>23.0843</v>
      </c>
      <c r="H1345" s="14">
        <v>15.8637</v>
      </c>
      <c r="I1345" s="7">
        <v>14.4355</v>
      </c>
      <c r="J1345" s="7">
        <v>15.8729</v>
      </c>
      <c r="K1345" s="7">
        <v>16.4037</v>
      </c>
      <c r="L1345" s="7">
        <v>18.6154</v>
      </c>
      <c r="M1345" s="7"/>
      <c r="N1345" s="7">
        <v>14.0435</v>
      </c>
      <c r="O1345" s="8">
        <v>12.3447</v>
      </c>
      <c r="P1345" s="7">
        <v>16.1765</v>
      </c>
      <c r="Q1345" s="7">
        <v>16.1765</v>
      </c>
      <c r="R1345" s="7">
        <v>16.1765</v>
      </c>
      <c r="S1345" s="8">
        <v>16.1765</v>
      </c>
    </row>
    <row r="1346" spans="1:19" s="12" customFormat="1" ht="16.5" customHeight="1">
      <c r="A1346" s="3"/>
      <c r="B1346" s="13" t="s">
        <v>64</v>
      </c>
      <c r="C1346" s="7">
        <v>15.3756</v>
      </c>
      <c r="D1346" s="7"/>
      <c r="E1346" s="7">
        <v>16.1157</v>
      </c>
      <c r="F1346" s="7">
        <v>16.838</v>
      </c>
      <c r="G1346" s="7">
        <v>23.0547</v>
      </c>
      <c r="H1346" s="14">
        <v>15.7279</v>
      </c>
      <c r="I1346" s="7">
        <v>14.5135</v>
      </c>
      <c r="J1346" s="7">
        <v>15.9935</v>
      </c>
      <c r="K1346" s="7">
        <v>16.5148</v>
      </c>
      <c r="L1346" s="7">
        <v>18.6868</v>
      </c>
      <c r="M1346" s="7"/>
      <c r="N1346" s="7">
        <v>14.151</v>
      </c>
      <c r="O1346" s="8">
        <v>12.0953</v>
      </c>
      <c r="P1346" s="7">
        <v>16.1214</v>
      </c>
      <c r="Q1346" s="7">
        <v>16.1214</v>
      </c>
      <c r="R1346" s="7">
        <v>16.1214</v>
      </c>
      <c r="S1346" s="8">
        <v>16.1214</v>
      </c>
    </row>
    <row r="1347" spans="1:19" s="12" customFormat="1" ht="16.5" customHeight="1">
      <c r="A1347" s="3"/>
      <c r="B1347" s="13" t="s">
        <v>65</v>
      </c>
      <c r="C1347" s="7">
        <v>15.2671</v>
      </c>
      <c r="D1347" s="7"/>
      <c r="E1347" s="7">
        <v>16.009</v>
      </c>
      <c r="F1347" s="7">
        <v>16.7411</v>
      </c>
      <c r="G1347" s="7">
        <v>23.0248</v>
      </c>
      <c r="H1347" s="14">
        <v>15.619</v>
      </c>
      <c r="I1347" s="7">
        <v>14.4777</v>
      </c>
      <c r="J1347" s="7">
        <v>16.3118</v>
      </c>
      <c r="K1347" s="7">
        <v>16.901</v>
      </c>
      <c r="L1347" s="7">
        <v>19.3558</v>
      </c>
      <c r="M1347" s="7"/>
      <c r="N1347" s="7">
        <v>14.2252</v>
      </c>
      <c r="O1347" s="8">
        <v>11.6952</v>
      </c>
      <c r="P1347" s="7">
        <v>16.8247</v>
      </c>
      <c r="Q1347" s="7">
        <v>16.8247</v>
      </c>
      <c r="R1347" s="7">
        <v>16.8247</v>
      </c>
      <c r="S1347" s="8">
        <v>16.8247</v>
      </c>
    </row>
    <row r="1348" spans="1:19" s="12" customFormat="1" ht="16.5" customHeight="1">
      <c r="A1348" s="3"/>
      <c r="B1348" s="13" t="s">
        <v>66</v>
      </c>
      <c r="C1348" s="7">
        <v>15.3836</v>
      </c>
      <c r="D1348" s="7"/>
      <c r="E1348" s="7">
        <v>16.1061</v>
      </c>
      <c r="F1348" s="7">
        <v>16.8282</v>
      </c>
      <c r="G1348" s="7">
        <v>23.0517</v>
      </c>
      <c r="H1348" s="14">
        <v>15.7169</v>
      </c>
      <c r="I1348" s="7">
        <v>14.4068</v>
      </c>
      <c r="J1348" s="7">
        <v>16.4108</v>
      </c>
      <c r="K1348" s="7">
        <v>17.0334</v>
      </c>
      <c r="L1348" s="7">
        <v>19.6275</v>
      </c>
      <c r="M1348" s="7"/>
      <c r="N1348" s="7">
        <v>14.2003</v>
      </c>
      <c r="O1348" s="8">
        <v>11.6443</v>
      </c>
      <c r="P1348" s="7">
        <v>16.9419</v>
      </c>
      <c r="Q1348" s="7">
        <v>16.9419</v>
      </c>
      <c r="R1348" s="7">
        <v>16.9419</v>
      </c>
      <c r="S1348" s="8">
        <v>16.9419</v>
      </c>
    </row>
    <row r="1349" spans="1:19" s="12" customFormat="1" ht="16.5" customHeight="1">
      <c r="A1349" s="3"/>
      <c r="B1349" s="13" t="s">
        <v>67</v>
      </c>
      <c r="C1349" s="7">
        <v>15.5884</v>
      </c>
      <c r="D1349" s="7"/>
      <c r="E1349" s="7">
        <v>16.3161</v>
      </c>
      <c r="F1349" s="7">
        <v>17.0155</v>
      </c>
      <c r="G1349" s="7">
        <v>23.1095</v>
      </c>
      <c r="H1349" s="14">
        <v>15.9273</v>
      </c>
      <c r="I1349" s="7">
        <v>14.5764</v>
      </c>
      <c r="J1349" s="7">
        <v>16.5039</v>
      </c>
      <c r="K1349" s="7">
        <v>17.1089</v>
      </c>
      <c r="L1349" s="7">
        <v>19.6299</v>
      </c>
      <c r="M1349" s="7"/>
      <c r="N1349" s="7">
        <v>14.3135</v>
      </c>
      <c r="O1349" s="8">
        <v>11.9478</v>
      </c>
      <c r="P1349" s="7">
        <v>16.9419</v>
      </c>
      <c r="Q1349" s="7">
        <v>16.9419</v>
      </c>
      <c r="R1349" s="7">
        <v>16.9419</v>
      </c>
      <c r="S1349" s="8">
        <v>16.9419</v>
      </c>
    </row>
    <row r="1350" spans="1:19" s="12" customFormat="1" ht="16.5" customHeight="1">
      <c r="A1350" s="3"/>
      <c r="B1350" s="4" t="s">
        <v>13</v>
      </c>
      <c r="C1350" s="11">
        <f>(C1344*2+C1345*7+C1346*7+C1347*7+C1348*7+C1349*1)/31</f>
        <v>15.407832258064515</v>
      </c>
      <c r="D1350" s="11"/>
      <c r="E1350" s="11">
        <f aca="true" t="shared" si="201" ref="E1350:S1350">(E1344*2+E1345*7+E1346*7+E1347*7+E1348*7+E1349*1)/31</f>
        <v>16.11285483870968</v>
      </c>
      <c r="F1350" s="11">
        <f t="shared" si="201"/>
        <v>16.834793548387097</v>
      </c>
      <c r="G1350" s="11">
        <f t="shared" si="201"/>
        <v>23.053709677419352</v>
      </c>
      <c r="H1350" s="11">
        <f t="shared" si="201"/>
        <v>15.730599999999999</v>
      </c>
      <c r="I1350" s="11">
        <f t="shared" si="201"/>
        <v>14.444512903225807</v>
      </c>
      <c r="J1350" s="11">
        <f t="shared" si="201"/>
        <v>16.124416129032255</v>
      </c>
      <c r="K1350" s="11">
        <f t="shared" si="201"/>
        <v>16.689277419354838</v>
      </c>
      <c r="L1350" s="11">
        <f t="shared" si="201"/>
        <v>19.042806451612908</v>
      </c>
      <c r="M1350" s="11"/>
      <c r="N1350" s="11">
        <f t="shared" si="201"/>
        <v>14.136622580645161</v>
      </c>
      <c r="O1350" s="38">
        <f t="shared" si="201"/>
        <v>11.962564516129033</v>
      </c>
      <c r="P1350" s="11">
        <f>(P1344*2+P1345*7+P1346*7+P1347*7+P1348*7+P1349*1)/31</f>
        <v>16.529264516129032</v>
      </c>
      <c r="Q1350" s="11">
        <f t="shared" si="201"/>
        <v>16.529264516129032</v>
      </c>
      <c r="R1350" s="48">
        <f t="shared" si="201"/>
        <v>16.529264516129032</v>
      </c>
      <c r="S1350" s="38">
        <f t="shared" si="201"/>
        <v>16.529264516129032</v>
      </c>
    </row>
    <row r="1351" spans="1:19" s="12" customFormat="1" ht="16.5" customHeight="1">
      <c r="A1351" s="3"/>
      <c r="B1351" s="13" t="s">
        <v>233</v>
      </c>
      <c r="C1351" s="7">
        <v>15.5926</v>
      </c>
      <c r="D1351" s="7"/>
      <c r="E1351" s="7">
        <v>16.4417</v>
      </c>
      <c r="F1351" s="7">
        <v>17.1295</v>
      </c>
      <c r="G1351" s="7">
        <v>23.1516</v>
      </c>
      <c r="H1351" s="14">
        <v>16.0541</v>
      </c>
      <c r="I1351" s="7">
        <v>14.8851</v>
      </c>
      <c r="J1351" s="7">
        <v>16.778</v>
      </c>
      <c r="K1351" s="7">
        <v>17.376</v>
      </c>
      <c r="L1351" s="7">
        <v>19.8676</v>
      </c>
      <c r="M1351" s="7"/>
      <c r="N1351" s="7">
        <v>14.6107</v>
      </c>
      <c r="O1351" s="8">
        <v>12.5244</v>
      </c>
      <c r="P1351" s="7">
        <v>17.5527</v>
      </c>
      <c r="Q1351" s="7">
        <v>17.5527</v>
      </c>
      <c r="R1351" s="7">
        <v>17.5527</v>
      </c>
      <c r="S1351" s="8">
        <v>17.5527</v>
      </c>
    </row>
    <row r="1352" spans="1:19" s="12" customFormat="1" ht="16.5" customHeight="1">
      <c r="A1352" s="3"/>
      <c r="B1352" s="13" t="s">
        <v>68</v>
      </c>
      <c r="C1352" s="7">
        <v>15.83</v>
      </c>
      <c r="D1352" s="7"/>
      <c r="E1352" s="7">
        <v>16.6859</v>
      </c>
      <c r="F1352" s="7">
        <v>17.3472</v>
      </c>
      <c r="G1352" s="7">
        <v>23.2188</v>
      </c>
      <c r="H1352" s="14">
        <v>16.2987</v>
      </c>
      <c r="I1352" s="7">
        <v>15.0607</v>
      </c>
      <c r="J1352" s="7">
        <v>16.9414</v>
      </c>
      <c r="K1352" s="7">
        <v>17.518</v>
      </c>
      <c r="L1352" s="7">
        <v>19.9204</v>
      </c>
      <c r="M1352" s="7"/>
      <c r="N1352" s="7">
        <v>14.8581</v>
      </c>
      <c r="O1352" s="8">
        <v>12.6553</v>
      </c>
      <c r="P1352" s="7">
        <v>17.5527</v>
      </c>
      <c r="Q1352" s="7">
        <v>17.5527</v>
      </c>
      <c r="R1352" s="7">
        <v>17.5527</v>
      </c>
      <c r="S1352" s="8">
        <v>17.5527</v>
      </c>
    </row>
    <row r="1353" spans="1:19" s="12" customFormat="1" ht="16.5" customHeight="1">
      <c r="A1353" s="3"/>
      <c r="B1353" s="13" t="s">
        <v>69</v>
      </c>
      <c r="C1353" s="7">
        <v>16.1631</v>
      </c>
      <c r="D1353" s="7"/>
      <c r="E1353" s="7">
        <v>16.9452</v>
      </c>
      <c r="F1353" s="7">
        <v>17.5774</v>
      </c>
      <c r="G1353" s="7">
        <v>23.2898</v>
      </c>
      <c r="H1353" s="14">
        <v>16.5574</v>
      </c>
      <c r="I1353" s="7">
        <v>15.3689</v>
      </c>
      <c r="J1353" s="7">
        <v>17.1234</v>
      </c>
      <c r="K1353" s="7">
        <v>17.6645</v>
      </c>
      <c r="L1353" s="7">
        <v>19.9189</v>
      </c>
      <c r="M1353" s="7"/>
      <c r="N1353" s="7">
        <v>15.167</v>
      </c>
      <c r="O1353" s="8">
        <v>12.996</v>
      </c>
      <c r="P1353" s="7">
        <v>18.5189</v>
      </c>
      <c r="Q1353" s="7">
        <v>18.5189</v>
      </c>
      <c r="R1353" s="7">
        <v>18.5189</v>
      </c>
      <c r="S1353" s="8">
        <v>18.5189</v>
      </c>
    </row>
    <row r="1354" spans="1:19" s="12" customFormat="1" ht="16.5" customHeight="1">
      <c r="A1354" s="3"/>
      <c r="B1354" s="13" t="s">
        <v>70</v>
      </c>
      <c r="C1354" s="7">
        <v>16.783</v>
      </c>
      <c r="D1354" s="7"/>
      <c r="E1354" s="7">
        <v>17.5039</v>
      </c>
      <c r="F1354" s="7">
        <v>18.0694</v>
      </c>
      <c r="G1354" s="7">
        <v>23.4417</v>
      </c>
      <c r="H1354" s="14">
        <v>17.1101</v>
      </c>
      <c r="I1354" s="7">
        <v>15.759</v>
      </c>
      <c r="J1354" s="7">
        <v>17.3292</v>
      </c>
      <c r="K1354" s="7">
        <v>17.8061</v>
      </c>
      <c r="L1354" s="7">
        <v>19.7934</v>
      </c>
      <c r="M1354" s="7"/>
      <c r="N1354" s="7">
        <v>15.5429</v>
      </c>
      <c r="O1354" s="8">
        <v>13.3291</v>
      </c>
      <c r="P1354" s="7">
        <v>18.6799</v>
      </c>
      <c r="Q1354" s="7">
        <v>18.6799</v>
      </c>
      <c r="R1354" s="7">
        <v>18.6799</v>
      </c>
      <c r="S1354" s="8">
        <v>18.6799</v>
      </c>
    </row>
    <row r="1355" spans="1:19" s="12" customFormat="1" ht="16.5" customHeight="1">
      <c r="A1355" s="3"/>
      <c r="B1355" s="13" t="s">
        <v>71</v>
      </c>
      <c r="C1355" s="7">
        <v>17.1309</v>
      </c>
      <c r="D1355" s="7"/>
      <c r="E1355" s="7">
        <v>17.7767</v>
      </c>
      <c r="F1355" s="7">
        <v>18.3101</v>
      </c>
      <c r="G1355" s="7">
        <v>23.516</v>
      </c>
      <c r="H1355" s="14">
        <v>17.3805</v>
      </c>
      <c r="I1355" s="7">
        <v>15.8812</v>
      </c>
      <c r="J1355" s="7">
        <v>17.3777</v>
      </c>
      <c r="K1355" s="7">
        <v>17.8169</v>
      </c>
      <c r="L1355" s="7">
        <v>19.6469</v>
      </c>
      <c r="M1355" s="7"/>
      <c r="N1355" s="7">
        <v>15.6914</v>
      </c>
      <c r="O1355" s="8">
        <v>13.5476</v>
      </c>
      <c r="P1355" s="7">
        <v>19.9688</v>
      </c>
      <c r="Q1355" s="7">
        <v>19.9688</v>
      </c>
      <c r="R1355" s="7">
        <v>19.9688</v>
      </c>
      <c r="S1355" s="8">
        <v>19.9688</v>
      </c>
    </row>
    <row r="1356" spans="1:19" s="12" customFormat="1" ht="16.5" customHeight="1">
      <c r="A1356" s="3"/>
      <c r="B1356" s="4" t="s">
        <v>13</v>
      </c>
      <c r="C1356" s="11">
        <f>(C1351*6+C1352*7+C1353*7+C1354*7+C1355*3)/30</f>
        <v>16.212699999999998</v>
      </c>
      <c r="D1356" s="11"/>
      <c r="E1356" s="11">
        <f>(E1351*6+E1352*7+E1353*7+E1354*7+E1355*3)/30</f>
        <v>16.997510000000002</v>
      </c>
      <c r="F1356" s="11">
        <f aca="true" t="shared" si="202" ref="F1356:S1356">(F1351*6+F1352*7+F1353*7+F1354*7+F1355*3)/30</f>
        <v>17.622176666666668</v>
      </c>
      <c r="G1356" s="11">
        <f t="shared" si="202"/>
        <v>23.303656666666665</v>
      </c>
      <c r="H1356" s="11">
        <f t="shared" si="202"/>
        <v>16.60765</v>
      </c>
      <c r="I1356" s="11">
        <f t="shared" si="202"/>
        <v>15.34248</v>
      </c>
      <c r="J1356" s="11">
        <f t="shared" si="202"/>
        <v>17.085303333333332</v>
      </c>
      <c r="K1356" s="11">
        <f t="shared" si="202"/>
        <v>17.620896666666667</v>
      </c>
      <c r="L1356" s="11">
        <f t="shared" si="202"/>
        <v>19.852506666666667</v>
      </c>
      <c r="M1356" s="11"/>
      <c r="N1356" s="11">
        <f t="shared" si="202"/>
        <v>15.123813333333334</v>
      </c>
      <c r="O1356" s="38">
        <f t="shared" si="202"/>
        <v>12.955066666666669</v>
      </c>
      <c r="P1356" s="11">
        <f t="shared" si="202"/>
        <v>18.282770000000003</v>
      </c>
      <c r="Q1356" s="11">
        <f t="shared" si="202"/>
        <v>18.282770000000003</v>
      </c>
      <c r="R1356" s="48">
        <f t="shared" si="202"/>
        <v>18.282770000000003</v>
      </c>
      <c r="S1356" s="38">
        <f t="shared" si="202"/>
        <v>18.282770000000003</v>
      </c>
    </row>
    <row r="1357" spans="1:19" s="12" customFormat="1" ht="16.5" customHeight="1">
      <c r="A1357" s="3"/>
      <c r="B1357" s="13" t="s">
        <v>238</v>
      </c>
      <c r="C1357" s="7">
        <v>17.439075</v>
      </c>
      <c r="D1357" s="7"/>
      <c r="E1357" s="7">
        <v>17.98306075</v>
      </c>
      <c r="F1357" s="7">
        <v>18.47438175</v>
      </c>
      <c r="G1357" s="7">
        <v>23.45604375</v>
      </c>
      <c r="H1357" s="14">
        <v>17.584799250000003</v>
      </c>
      <c r="I1357" s="7">
        <v>15.949267740401547</v>
      </c>
      <c r="J1357" s="7">
        <v>17.44362365</v>
      </c>
      <c r="K1357" s="7">
        <v>17.88113225</v>
      </c>
      <c r="L1357" s="7">
        <v>19.704084750000003</v>
      </c>
      <c r="M1357" s="7"/>
      <c r="N1357" s="7">
        <v>15.765775</v>
      </c>
      <c r="O1357" s="8">
        <v>13.683074999999999</v>
      </c>
      <c r="P1357" s="7">
        <v>20.6132</v>
      </c>
      <c r="Q1357" s="7">
        <v>20.6132</v>
      </c>
      <c r="R1357" s="7">
        <v>20.6132</v>
      </c>
      <c r="S1357" s="8">
        <v>20.6132</v>
      </c>
    </row>
    <row r="1358" spans="1:19" s="12" customFormat="1" ht="16.5" customHeight="1">
      <c r="A1358" s="3"/>
      <c r="B1358" s="13" t="s">
        <v>72</v>
      </c>
      <c r="C1358" s="7">
        <v>17.878914285714284</v>
      </c>
      <c r="D1358" s="7"/>
      <c r="E1358" s="7">
        <v>18.297469</v>
      </c>
      <c r="F1358" s="7">
        <v>18.751445142857143</v>
      </c>
      <c r="G1358" s="7">
        <v>23.541557142857137</v>
      </c>
      <c r="H1358" s="14">
        <v>17.896068000000003</v>
      </c>
      <c r="I1358" s="7">
        <v>16.110168415456</v>
      </c>
      <c r="J1358" s="7">
        <v>17.620589885714285</v>
      </c>
      <c r="K1358" s="7">
        <v>18.073594</v>
      </c>
      <c r="L1358" s="7">
        <v>19.96111114285714</v>
      </c>
      <c r="M1358" s="7"/>
      <c r="N1358" s="7">
        <v>15.905900000000003</v>
      </c>
      <c r="O1358" s="8">
        <v>13.728928571428572</v>
      </c>
      <c r="P1358" s="7">
        <v>20.613200000000003</v>
      </c>
      <c r="Q1358" s="7">
        <v>20.613200000000003</v>
      </c>
      <c r="R1358" s="7">
        <v>20.613200000000003</v>
      </c>
      <c r="S1358" s="8">
        <v>20.613200000000003</v>
      </c>
    </row>
    <row r="1359" spans="1:19" s="12" customFormat="1" ht="16.5" customHeight="1">
      <c r="A1359" s="3"/>
      <c r="B1359" s="13" t="s">
        <v>73</v>
      </c>
      <c r="C1359" s="7">
        <v>17.96452857142857</v>
      </c>
      <c r="D1359" s="7"/>
      <c r="E1359" s="7">
        <v>18.400104</v>
      </c>
      <c r="F1359" s="7">
        <v>18.839168142857144</v>
      </c>
      <c r="G1359" s="7">
        <v>23.568632142857137</v>
      </c>
      <c r="H1359" s="14">
        <v>17.994621000000002</v>
      </c>
      <c r="I1359" s="7">
        <v>16.280756109213147</v>
      </c>
      <c r="J1359" s="7">
        <v>17.90327562857143</v>
      </c>
      <c r="K1359" s="7">
        <v>18.405033</v>
      </c>
      <c r="L1359" s="7">
        <v>20.495688714285716</v>
      </c>
      <c r="M1359" s="7"/>
      <c r="N1359" s="7">
        <v>16.041985714285712</v>
      </c>
      <c r="O1359" s="8">
        <v>13.800557142857143</v>
      </c>
      <c r="P1359" s="7">
        <v>21.916571428571434</v>
      </c>
      <c r="Q1359" s="7">
        <v>21.916571428571434</v>
      </c>
      <c r="R1359" s="7">
        <v>21.916571428571434</v>
      </c>
      <c r="S1359" s="8">
        <v>21.916571428571434</v>
      </c>
    </row>
    <row r="1360" spans="1:19" s="12" customFormat="1" ht="16.5" customHeight="1">
      <c r="A1360" s="3"/>
      <c r="B1360" s="13" t="s">
        <v>74</v>
      </c>
      <c r="C1360" s="7">
        <v>17.584385714285713</v>
      </c>
      <c r="D1360" s="7"/>
      <c r="E1360" s="7">
        <v>18.088832000000004</v>
      </c>
      <c r="F1360" s="7">
        <v>18.559984285714286</v>
      </c>
      <c r="G1360" s="7">
        <v>23.482464285714286</v>
      </c>
      <c r="H1360" s="14">
        <v>17.680970000000002</v>
      </c>
      <c r="I1360" s="7">
        <v>16.013192783514604</v>
      </c>
      <c r="J1360" s="7">
        <v>17.64646902857143</v>
      </c>
      <c r="K1360" s="7">
        <v>18.156624</v>
      </c>
      <c r="L1360" s="7">
        <v>20.282269714285718</v>
      </c>
      <c r="M1360" s="7"/>
      <c r="N1360" s="7">
        <v>15.743414285714286</v>
      </c>
      <c r="O1360" s="8">
        <v>13.662757142857142</v>
      </c>
      <c r="P1360" s="7">
        <v>22.133800000000004</v>
      </c>
      <c r="Q1360" s="7">
        <v>22.133800000000004</v>
      </c>
      <c r="R1360" s="7">
        <v>22.133800000000004</v>
      </c>
      <c r="S1360" s="8">
        <v>22.133800000000004</v>
      </c>
    </row>
    <row r="1361" spans="1:19" s="12" customFormat="1" ht="16.5" customHeight="1">
      <c r="A1361" s="3"/>
      <c r="B1361" s="13" t="s">
        <v>75</v>
      </c>
      <c r="C1361" s="7">
        <v>18.083333333333332</v>
      </c>
      <c r="D1361" s="7"/>
      <c r="E1361" s="7">
        <v>18.473164</v>
      </c>
      <c r="F1361" s="7">
        <v>18.901488000000004</v>
      </c>
      <c r="G1361" s="7">
        <v>23.587866666666667</v>
      </c>
      <c r="H1361" s="14">
        <v>18.06463466666667</v>
      </c>
      <c r="I1361" s="7">
        <v>16.36401452292893</v>
      </c>
      <c r="J1361" s="7">
        <v>17.9893798</v>
      </c>
      <c r="K1361" s="7">
        <v>18.505627</v>
      </c>
      <c r="L1361" s="7">
        <v>20.656657</v>
      </c>
      <c r="M1361" s="7"/>
      <c r="N1361" s="7">
        <v>16.06201666666667</v>
      </c>
      <c r="O1361" s="8">
        <v>13.897383333333336</v>
      </c>
      <c r="P1361" s="7">
        <v>22.251133333333332</v>
      </c>
      <c r="Q1361" s="7">
        <v>22.251133333333332</v>
      </c>
      <c r="R1361" s="7">
        <v>22.251133333333332</v>
      </c>
      <c r="S1361" s="8">
        <v>22.251133333333332</v>
      </c>
    </row>
    <row r="1362" spans="1:19" s="12" customFormat="1" ht="16.5" customHeight="1">
      <c r="A1362" s="3"/>
      <c r="B1362" s="4" t="s">
        <v>13</v>
      </c>
      <c r="C1362" s="11">
        <f>(C1357*4+C1358*7+C1359*7+C1360*7+C1361*6)/31</f>
        <v>17.814551612903223</v>
      </c>
      <c r="D1362" s="11"/>
      <c r="E1362" s="11">
        <f aca="true" t="shared" si="203" ref="E1362:S1362">(E1357*4+E1358*7+E1359*7+E1360*7+E1361*6)/31</f>
        <v>18.266969741935483</v>
      </c>
      <c r="F1362" s="11">
        <f t="shared" si="203"/>
        <v>18.72131090322581</v>
      </c>
      <c r="G1362" s="11">
        <f t="shared" si="203"/>
        <v>23.5322564516129</v>
      </c>
      <c r="H1362" s="11">
        <f>(H1357*4+H1358*7+H1359*7+H1360*7+H1361*6)/31</f>
        <v>17.86221348387097</v>
      </c>
      <c r="I1362" s="11">
        <f t="shared" si="203"/>
        <v>16.155160621176325</v>
      </c>
      <c r="J1362" s="11">
        <f t="shared" si="203"/>
        <v>17.738810167741935</v>
      </c>
      <c r="K1362" s="11">
        <f t="shared" si="203"/>
        <v>18.22596929032258</v>
      </c>
      <c r="L1362" s="11">
        <f t="shared" si="203"/>
        <v>20.255798967741935</v>
      </c>
      <c r="M1362" s="11"/>
      <c r="N1362" s="11">
        <f t="shared" si="203"/>
        <v>15.912074193548388</v>
      </c>
      <c r="O1362" s="38">
        <f t="shared" si="203"/>
        <v>13.756848387096774</v>
      </c>
      <c r="P1362" s="11">
        <f t="shared" si="203"/>
        <v>21.567890322580645</v>
      </c>
      <c r="Q1362" s="11">
        <f t="shared" si="203"/>
        <v>21.567890322580645</v>
      </c>
      <c r="R1362" s="48">
        <f t="shared" si="203"/>
        <v>21.567890322580645</v>
      </c>
      <c r="S1362" s="38">
        <f t="shared" si="203"/>
        <v>21.567890322580645</v>
      </c>
    </row>
    <row r="1363" spans="1:19" s="12" customFormat="1" ht="16.5" customHeight="1">
      <c r="A1363" s="3"/>
      <c r="B1363" s="13" t="s">
        <v>244</v>
      </c>
      <c r="C1363" s="7">
        <v>18.3783</v>
      </c>
      <c r="D1363" s="7"/>
      <c r="E1363" s="7">
        <v>18.746437</v>
      </c>
      <c r="F1363" s="7">
        <v>19.144515000000002</v>
      </c>
      <c r="G1363" s="7">
        <v>23.662875</v>
      </c>
      <c r="H1363" s="14">
        <v>18.337665</v>
      </c>
      <c r="I1363" s="7">
        <v>16.642056287425156</v>
      </c>
      <c r="J1363" s="7">
        <v>18.2374502</v>
      </c>
      <c r="K1363" s="7">
        <v>18.747323</v>
      </c>
      <c r="L1363" s="7">
        <v>20.871793</v>
      </c>
      <c r="M1363" s="7"/>
      <c r="N1363" s="7">
        <v>16.3308</v>
      </c>
      <c r="O1363" s="8">
        <v>14.2002</v>
      </c>
      <c r="P1363" s="7">
        <v>22.3098</v>
      </c>
      <c r="Q1363" s="7">
        <v>22.3098</v>
      </c>
      <c r="R1363" s="7">
        <v>22.3098</v>
      </c>
      <c r="S1363" s="8">
        <v>22.3098</v>
      </c>
    </row>
    <row r="1364" spans="1:19" s="12" customFormat="1" ht="16.5" customHeight="1">
      <c r="A1364" s="3"/>
      <c r="B1364" s="13" t="s">
        <v>76</v>
      </c>
      <c r="C1364" s="7">
        <v>17.94052857142857</v>
      </c>
      <c r="D1364" s="7"/>
      <c r="E1364" s="7">
        <v>18.328279000000002</v>
      </c>
      <c r="F1364" s="7">
        <v>18.770595857142858</v>
      </c>
      <c r="G1364" s="7">
        <v>23.547467857142856</v>
      </c>
      <c r="H1364" s="14">
        <v>17.917583</v>
      </c>
      <c r="I1364" s="7">
        <v>16.246798253993212</v>
      </c>
      <c r="J1364" s="7">
        <v>17.917303857142862</v>
      </c>
      <c r="K1364" s="7">
        <v>18.448765</v>
      </c>
      <c r="L1364" s="7">
        <v>20.663186428571432</v>
      </c>
      <c r="M1364" s="7"/>
      <c r="N1364" s="7">
        <v>15.947685714285717</v>
      </c>
      <c r="O1364" s="8">
        <v>13.992128571428571</v>
      </c>
      <c r="P1364" s="7">
        <v>22.3098</v>
      </c>
      <c r="Q1364" s="7">
        <v>22.3098</v>
      </c>
      <c r="R1364" s="7">
        <v>22.3098</v>
      </c>
      <c r="S1364" s="8">
        <v>22.3098</v>
      </c>
    </row>
    <row r="1365" spans="1:19" s="12" customFormat="1" ht="16.5" customHeight="1">
      <c r="A1365" s="3"/>
      <c r="B1365" s="13" t="s">
        <v>77</v>
      </c>
      <c r="C1365" s="7">
        <v>17.788014285714286</v>
      </c>
      <c r="D1365" s="7"/>
      <c r="E1365" s="7">
        <v>18.159421999999996</v>
      </c>
      <c r="F1365" s="7">
        <v>18.616892571428572</v>
      </c>
      <c r="G1365" s="7">
        <v>23.50002857142857</v>
      </c>
      <c r="H1365" s="14">
        <v>17.744904</v>
      </c>
      <c r="I1365" s="7">
        <v>16.000488340947154</v>
      </c>
      <c r="J1365" s="7">
        <v>17.7078082</v>
      </c>
      <c r="K1365" s="7">
        <v>18.247993</v>
      </c>
      <c r="L1365" s="7">
        <v>20.498763000000004</v>
      </c>
      <c r="M1365" s="7"/>
      <c r="N1365" s="7">
        <v>15.648557142857141</v>
      </c>
      <c r="O1365" s="8">
        <v>13.828714285714286</v>
      </c>
      <c r="P1365" s="7">
        <v>22.918114285714285</v>
      </c>
      <c r="Q1365" s="7">
        <v>22.918114285714285</v>
      </c>
      <c r="R1365" s="7">
        <v>22.918114285714285</v>
      </c>
      <c r="S1365" s="8">
        <v>22.918114285714285</v>
      </c>
    </row>
    <row r="1366" spans="1:19" s="12" customFormat="1" ht="16.5" customHeight="1">
      <c r="A1366" s="3"/>
      <c r="B1366" s="13" t="s">
        <v>78</v>
      </c>
      <c r="C1366" s="7">
        <v>17.065585714285714</v>
      </c>
      <c r="D1366" s="7"/>
      <c r="E1366" s="7">
        <v>17.496825</v>
      </c>
      <c r="F1366" s="7">
        <v>18.027629142857144</v>
      </c>
      <c r="G1366" s="7">
        <v>23.31815714285714</v>
      </c>
      <c r="H1366" s="14">
        <v>17.082891999999998</v>
      </c>
      <c r="I1366" s="7">
        <v>15.454461321498655</v>
      </c>
      <c r="J1366" s="7">
        <v>17.253355485714287</v>
      </c>
      <c r="K1366" s="7">
        <v>17.817038</v>
      </c>
      <c r="L1366" s="7">
        <v>20.165715142857145</v>
      </c>
      <c r="M1366" s="7"/>
      <c r="N1366" s="7">
        <v>14.961257142857145</v>
      </c>
      <c r="O1366" s="8">
        <v>13.322785714285715</v>
      </c>
      <c r="P1366" s="7">
        <v>23.019499999999997</v>
      </c>
      <c r="Q1366" s="7">
        <v>23.019499999999997</v>
      </c>
      <c r="R1366" s="7">
        <v>23.019499999999997</v>
      </c>
      <c r="S1366" s="8">
        <v>23.019499999999997</v>
      </c>
    </row>
    <row r="1367" spans="1:19" s="12" customFormat="1" ht="16.5" customHeight="1">
      <c r="A1367" s="3"/>
      <c r="B1367" s="13" t="s">
        <v>79</v>
      </c>
      <c r="C1367" s="7">
        <v>16.773242857142858</v>
      </c>
      <c r="D1367" s="7"/>
      <c r="E1367" s="7">
        <v>17.314253</v>
      </c>
      <c r="F1367" s="7">
        <v>17.868846</v>
      </c>
      <c r="G1367" s="7">
        <v>23.26915</v>
      </c>
      <c r="H1367" s="14">
        <v>16.904506</v>
      </c>
      <c r="I1367" s="7">
        <v>15.534169125841952</v>
      </c>
      <c r="J1367" s="7">
        <v>17.333399171428574</v>
      </c>
      <c r="K1367" s="7">
        <v>17.913269000000003</v>
      </c>
      <c r="L1367" s="7">
        <v>20.329393285714282</v>
      </c>
      <c r="M1367" s="7"/>
      <c r="N1367" s="7">
        <v>14.9995</v>
      </c>
      <c r="O1367" s="8">
        <v>13.733842857142859</v>
      </c>
      <c r="P1367" s="7">
        <v>23.7095</v>
      </c>
      <c r="Q1367" s="7">
        <v>23.7095</v>
      </c>
      <c r="R1367" s="7">
        <v>23.7095</v>
      </c>
      <c r="S1367" s="8">
        <v>23.7095</v>
      </c>
    </row>
    <row r="1368" spans="1:19" s="12" customFormat="1" ht="16.5" customHeight="1">
      <c r="A1368" s="3"/>
      <c r="B1368" s="13" t="s">
        <v>80</v>
      </c>
      <c r="C1368" s="7">
        <v>17.0191</v>
      </c>
      <c r="D1368" s="7"/>
      <c r="E1368" s="7">
        <v>17.540323</v>
      </c>
      <c r="F1368" s="7">
        <v>18.074140500000002</v>
      </c>
      <c r="G1368" s="7">
        <v>23.3325125</v>
      </c>
      <c r="H1368" s="14">
        <v>17.1351455</v>
      </c>
      <c r="I1368" s="7">
        <v>15.919130986703063</v>
      </c>
      <c r="J1368" s="7">
        <v>17.6803921</v>
      </c>
      <c r="K1368" s="7">
        <v>18.2521165</v>
      </c>
      <c r="L1368" s="7">
        <v>20.6343015</v>
      </c>
      <c r="M1368" s="7"/>
      <c r="N1368" s="7">
        <v>15.38015</v>
      </c>
      <c r="O1368" s="8">
        <v>14.59505</v>
      </c>
      <c r="P1368" s="7">
        <v>23.8245</v>
      </c>
      <c r="Q1368" s="7">
        <v>23.8245</v>
      </c>
      <c r="R1368" s="7">
        <v>23.8245</v>
      </c>
      <c r="S1368" s="8">
        <v>23.8245</v>
      </c>
    </row>
    <row r="1369" spans="1:19" s="12" customFormat="1" ht="16.5" customHeight="1">
      <c r="A1369" s="3"/>
      <c r="B1369" s="4" t="s">
        <v>13</v>
      </c>
      <c r="C1369" s="11">
        <f>(C1363*1+C1364*7+C1365*7+C1366*7+C1367*7+C1368*2)/31</f>
        <v>17.399616129032253</v>
      </c>
      <c r="D1369" s="11"/>
      <c r="E1369" s="11">
        <f>(E1363*1+E1364*7+E1365*7+E1366*7+E1367*7+E1368*2)/31</f>
        <v>17.836081806451613</v>
      </c>
      <c r="F1369" s="11">
        <f aca="true" t="shared" si="204" ref="F1369:S1369">(F1363*1+F1364*7+F1365*7+F1366*7+F1367*7+F1368*2)/31</f>
        <v>18.33163035483871</v>
      </c>
      <c r="G1369" s="11">
        <f t="shared" si="204"/>
        <v>23.41198467741935</v>
      </c>
      <c r="H1369" s="11">
        <f t="shared" si="204"/>
        <v>17.42442422580645</v>
      </c>
      <c r="I1369" s="11">
        <f t="shared" si="204"/>
        <v>15.842959276025745</v>
      </c>
      <c r="J1369" s="11">
        <f t="shared" si="204"/>
        <v>17.58326778709678</v>
      </c>
      <c r="K1369" s="11">
        <f t="shared" si="204"/>
        <v>18.136806806451617</v>
      </c>
      <c r="L1369" s="11">
        <f t="shared" si="204"/>
        <v>20.44321938709677</v>
      </c>
      <c r="M1369" s="11"/>
      <c r="N1369" s="11">
        <f t="shared" si="204"/>
        <v>15.419035483870967</v>
      </c>
      <c r="O1369" s="38">
        <f t="shared" si="204"/>
        <v>13.791374193548387</v>
      </c>
      <c r="P1369" s="11">
        <f t="shared" si="204"/>
        <v>23.0212</v>
      </c>
      <c r="Q1369" s="11">
        <f t="shared" si="204"/>
        <v>23.0212</v>
      </c>
      <c r="R1369" s="48">
        <f t="shared" si="204"/>
        <v>23.0212</v>
      </c>
      <c r="S1369" s="38">
        <f t="shared" si="204"/>
        <v>23.0212</v>
      </c>
    </row>
    <row r="1370" spans="1:19" s="12" customFormat="1" ht="16.5" customHeight="1">
      <c r="A1370" s="3"/>
      <c r="B1370" s="13" t="s">
        <v>27</v>
      </c>
      <c r="C1370" s="7">
        <v>16.8834</v>
      </c>
      <c r="D1370" s="7"/>
      <c r="E1370" s="7">
        <v>17.4291</v>
      </c>
      <c r="F1370" s="7">
        <v>17.9789</v>
      </c>
      <c r="G1370" s="7">
        <v>23.31</v>
      </c>
      <c r="H1370" s="14">
        <v>17.0269</v>
      </c>
      <c r="I1370" s="7">
        <v>15.9039</v>
      </c>
      <c r="J1370" s="7">
        <v>17.7329</v>
      </c>
      <c r="K1370" s="7">
        <v>18.3325</v>
      </c>
      <c r="L1370" s="7">
        <v>20.7058</v>
      </c>
      <c r="M1370" s="7"/>
      <c r="N1370" s="7">
        <v>15.4514</v>
      </c>
      <c r="O1370" s="8">
        <v>14.1433</v>
      </c>
      <c r="P1370" s="7">
        <v>23.8245</v>
      </c>
      <c r="Q1370" s="7">
        <v>23.8245</v>
      </c>
      <c r="R1370" s="7">
        <v>23.8245</v>
      </c>
      <c r="S1370" s="8">
        <v>23.8245</v>
      </c>
    </row>
    <row r="1371" spans="1:19" s="12" customFormat="1" ht="16.5" customHeight="1">
      <c r="A1371" s="3"/>
      <c r="B1371" s="13" t="s">
        <v>81</v>
      </c>
      <c r="C1371" s="7">
        <v>17.1885</v>
      </c>
      <c r="D1371" s="7"/>
      <c r="E1371" s="7">
        <v>17.7138</v>
      </c>
      <c r="F1371" s="7">
        <v>18.2296</v>
      </c>
      <c r="G1371" s="7">
        <v>23.3874</v>
      </c>
      <c r="H1371" s="14">
        <v>17.3086</v>
      </c>
      <c r="I1371" s="7">
        <v>16.1024</v>
      </c>
      <c r="J1371" s="7">
        <v>17.9992</v>
      </c>
      <c r="K1371" s="7">
        <v>18.5566</v>
      </c>
      <c r="L1371" s="7">
        <v>20.8789</v>
      </c>
      <c r="M1371" s="7"/>
      <c r="N1371" s="7">
        <v>15.7142</v>
      </c>
      <c r="O1371" s="8">
        <v>13.8417</v>
      </c>
      <c r="P1371" s="7">
        <v>23.5026</v>
      </c>
      <c r="Q1371" s="7">
        <v>23.5026</v>
      </c>
      <c r="R1371" s="7">
        <v>23.5026</v>
      </c>
      <c r="S1371" s="8">
        <v>23.5026</v>
      </c>
    </row>
    <row r="1372" spans="1:19" s="12" customFormat="1" ht="16.5" customHeight="1">
      <c r="A1372" s="3"/>
      <c r="B1372" s="13" t="s">
        <v>82</v>
      </c>
      <c r="C1372" s="7">
        <v>17.7046</v>
      </c>
      <c r="D1372" s="7"/>
      <c r="E1372" s="7">
        <v>18.1557</v>
      </c>
      <c r="F1372" s="7">
        <v>18.6199</v>
      </c>
      <c r="G1372" s="7">
        <v>23.5079</v>
      </c>
      <c r="H1372" s="14">
        <v>17.7471</v>
      </c>
      <c r="I1372" s="7">
        <v>16.647</v>
      </c>
      <c r="J1372" s="7">
        <v>18.4942</v>
      </c>
      <c r="K1372" s="7">
        <v>19.0453</v>
      </c>
      <c r="L1372" s="7">
        <v>21.3414</v>
      </c>
      <c r="M1372" s="7"/>
      <c r="N1372" s="7">
        <v>16.2176</v>
      </c>
      <c r="O1372" s="8">
        <v>13.6096</v>
      </c>
      <c r="P1372" s="7">
        <v>23.449</v>
      </c>
      <c r="Q1372" s="7">
        <v>23.449</v>
      </c>
      <c r="R1372" s="7">
        <v>23.449</v>
      </c>
      <c r="S1372" s="8">
        <v>23.449</v>
      </c>
    </row>
    <row r="1373" spans="1:19" s="12" customFormat="1" ht="16.5" customHeight="1">
      <c r="A1373" s="3"/>
      <c r="B1373" s="13" t="s">
        <v>83</v>
      </c>
      <c r="C1373" s="7">
        <v>18.2698</v>
      </c>
      <c r="D1373" s="7"/>
      <c r="E1373" s="7">
        <v>18.5702</v>
      </c>
      <c r="F1373" s="7">
        <v>18.9832</v>
      </c>
      <c r="G1373" s="7">
        <v>23.62</v>
      </c>
      <c r="H1373" s="14">
        <v>18.1553</v>
      </c>
      <c r="I1373" s="7">
        <v>17.3973</v>
      </c>
      <c r="J1373" s="7">
        <v>19.1774</v>
      </c>
      <c r="K1373" s="7">
        <v>19.7245</v>
      </c>
      <c r="L1373" s="7">
        <v>22.0042</v>
      </c>
      <c r="M1373" s="7"/>
      <c r="N1373" s="7">
        <v>16.9068</v>
      </c>
      <c r="O1373" s="8">
        <v>13.2776</v>
      </c>
      <c r="P1373" s="7">
        <v>24.5479</v>
      </c>
      <c r="Q1373" s="7">
        <v>24.5479</v>
      </c>
      <c r="R1373" s="7">
        <v>24.5479</v>
      </c>
      <c r="S1373" s="8">
        <v>24.5479</v>
      </c>
    </row>
    <row r="1374" spans="1:19" s="12" customFormat="1" ht="16.5" customHeight="1">
      <c r="A1374" s="3"/>
      <c r="B1374" s="13" t="s">
        <v>81</v>
      </c>
      <c r="C1374" s="7">
        <v>18.9175</v>
      </c>
      <c r="D1374" s="7"/>
      <c r="E1374" s="7">
        <v>19.1259</v>
      </c>
      <c r="F1374" s="7">
        <v>19.4757</v>
      </c>
      <c r="G1374" s="7">
        <v>23.772</v>
      </c>
      <c r="H1374" s="14">
        <v>18.7085</v>
      </c>
      <c r="I1374" s="7">
        <v>18.3558</v>
      </c>
      <c r="J1374" s="7">
        <v>20.056</v>
      </c>
      <c r="K1374" s="7">
        <v>20.6034</v>
      </c>
      <c r="L1374" s="7">
        <v>22.8844</v>
      </c>
      <c r="M1374" s="7"/>
      <c r="N1374" s="7">
        <v>17.7937</v>
      </c>
      <c r="O1374" s="8">
        <v>14.3429</v>
      </c>
      <c r="P1374" s="7">
        <v>24.731</v>
      </c>
      <c r="Q1374" s="7">
        <v>24.731</v>
      </c>
      <c r="R1374" s="7">
        <v>24.731</v>
      </c>
      <c r="S1374" s="8">
        <v>24.731</v>
      </c>
    </row>
    <row r="1375" spans="1:19" s="12" customFormat="1" ht="16.5" customHeight="1">
      <c r="A1375" s="3"/>
      <c r="B1375" s="4" t="s">
        <v>13</v>
      </c>
      <c r="C1375" s="11">
        <f>(C1370*5+C1371*7+C1372*7+C1373*7+C1374*4)/30</f>
        <v>17.74091</v>
      </c>
      <c r="D1375" s="11"/>
      <c r="E1375" s="11">
        <f aca="true" t="shared" si="205" ref="E1375:S1375">(E1370*5+E1371*7+E1372*7+E1373*7+E1374*4)/30</f>
        <v>18.157566666666664</v>
      </c>
      <c r="F1375" s="11">
        <f t="shared" si="205"/>
        <v>18.620873333333332</v>
      </c>
      <c r="G1375" s="11">
        <f t="shared" si="205"/>
        <v>23.50817</v>
      </c>
      <c r="H1375" s="11">
        <f t="shared" si="205"/>
        <v>17.748183333333333</v>
      </c>
      <c r="I1375" s="11">
        <f t="shared" si="205"/>
        <v>16.798986666666664</v>
      </c>
      <c r="J1375" s="11">
        <f t="shared" si="205"/>
        <v>18.61947</v>
      </c>
      <c r="K1375" s="11">
        <f t="shared" si="205"/>
        <v>19.178696666666667</v>
      </c>
      <c r="L1375" s="11">
        <f t="shared" si="205"/>
        <v>21.487936666666666</v>
      </c>
      <c r="M1375" s="11"/>
      <c r="N1375" s="11">
        <f t="shared" si="205"/>
        <v>16.3434</v>
      </c>
      <c r="O1375" s="38">
        <f t="shared" si="205"/>
        <v>13.773013333333331</v>
      </c>
      <c r="P1375" s="11">
        <f>(P1370*5+P1371*7+P1372*7+P1373*7+P1374*4)/30</f>
        <v>23.951433333333334</v>
      </c>
      <c r="Q1375" s="11">
        <f t="shared" si="205"/>
        <v>23.951433333333334</v>
      </c>
      <c r="R1375" s="48">
        <f t="shared" si="205"/>
        <v>23.951433333333334</v>
      </c>
      <c r="S1375" s="38">
        <f t="shared" si="205"/>
        <v>23.951433333333334</v>
      </c>
    </row>
    <row r="1376" spans="1:19" s="12" customFormat="1" ht="16.5" customHeight="1">
      <c r="A1376" s="3"/>
      <c r="B1376" s="13" t="s">
        <v>253</v>
      </c>
      <c r="C1376" s="7">
        <v>19.2464</v>
      </c>
      <c r="D1376" s="7"/>
      <c r="E1376" s="7">
        <v>19.3335</v>
      </c>
      <c r="F1376" s="7">
        <v>19.5985</v>
      </c>
      <c r="G1376" s="7">
        <v>23.4366</v>
      </c>
      <c r="H1376" s="14">
        <v>18.9132</v>
      </c>
      <c r="I1376" s="7">
        <v>18.6559</v>
      </c>
      <c r="J1376" s="7">
        <v>20.4281</v>
      </c>
      <c r="K1376" s="7">
        <v>20.966</v>
      </c>
      <c r="L1376" s="7">
        <v>23.2071</v>
      </c>
      <c r="M1376" s="7"/>
      <c r="N1376" s="7">
        <v>18.2277</v>
      </c>
      <c r="O1376" s="8">
        <v>16.4861</v>
      </c>
      <c r="P1376" s="7">
        <v>24.731</v>
      </c>
      <c r="Q1376" s="7">
        <v>24.731</v>
      </c>
      <c r="R1376" s="7">
        <v>24.731</v>
      </c>
      <c r="S1376" s="8">
        <v>24.731</v>
      </c>
    </row>
    <row r="1377" spans="1:19" s="12" customFormat="1" ht="16.5" customHeight="1">
      <c r="A1377" s="3"/>
      <c r="B1377" s="13" t="s">
        <v>85</v>
      </c>
      <c r="C1377" s="7">
        <v>19.8344</v>
      </c>
      <c r="D1377" s="7"/>
      <c r="E1377" s="7">
        <v>19.881</v>
      </c>
      <c r="F1377" s="7">
        <v>20.0865</v>
      </c>
      <c r="G1377" s="7">
        <v>23.5872</v>
      </c>
      <c r="H1377" s="14">
        <v>19.4613</v>
      </c>
      <c r="I1377" s="7">
        <v>19.3604</v>
      </c>
      <c r="J1377" s="7">
        <v>21.0286</v>
      </c>
      <c r="K1377" s="7">
        <v>21.5587</v>
      </c>
      <c r="L1377" s="7">
        <v>23.7676</v>
      </c>
      <c r="M1377" s="7"/>
      <c r="N1377" s="7">
        <v>18.9011</v>
      </c>
      <c r="O1377" s="8">
        <v>16.943</v>
      </c>
      <c r="P1377" s="7">
        <v>27.1103</v>
      </c>
      <c r="Q1377" s="7">
        <v>27.1103</v>
      </c>
      <c r="R1377" s="7">
        <v>27.1103</v>
      </c>
      <c r="S1377" s="8">
        <v>27.1103</v>
      </c>
    </row>
    <row r="1378" spans="1:19" s="12" customFormat="1" ht="16.5" customHeight="1">
      <c r="A1378" s="3"/>
      <c r="B1378" s="13" t="s">
        <v>86</v>
      </c>
      <c r="C1378" s="7">
        <v>20.7721</v>
      </c>
      <c r="D1378" s="7"/>
      <c r="E1378" s="7">
        <v>20.6329</v>
      </c>
      <c r="F1378" s="7">
        <v>20.7593</v>
      </c>
      <c r="G1378" s="7">
        <v>23.7948</v>
      </c>
      <c r="H1378" s="14">
        <v>20.2172</v>
      </c>
      <c r="I1378" s="7">
        <v>20.0339</v>
      </c>
      <c r="J1378" s="7">
        <v>21.623</v>
      </c>
      <c r="K1378" s="7">
        <v>21.623</v>
      </c>
      <c r="L1378" s="7">
        <v>24.5614</v>
      </c>
      <c r="M1378" s="7"/>
      <c r="N1378" s="7">
        <v>19.6857</v>
      </c>
      <c r="O1378" s="8">
        <v>17.1555</v>
      </c>
      <c r="P1378" s="7">
        <v>27.5069</v>
      </c>
      <c r="Q1378" s="7">
        <v>27.5069</v>
      </c>
      <c r="R1378" s="7">
        <v>27.5069</v>
      </c>
      <c r="S1378" s="8">
        <v>27.5069</v>
      </c>
    </row>
    <row r="1379" spans="1:19" s="12" customFormat="1" ht="16.5" customHeight="1">
      <c r="A1379" s="3"/>
      <c r="B1379" s="13" t="s">
        <v>87</v>
      </c>
      <c r="C1379" s="7">
        <v>21.6576</v>
      </c>
      <c r="D1379" s="7"/>
      <c r="E1379" s="7">
        <v>21.3973</v>
      </c>
      <c r="F1379" s="7">
        <v>21.4409</v>
      </c>
      <c r="G1379" s="7">
        <v>24.0052</v>
      </c>
      <c r="H1379" s="14">
        <v>20.893</v>
      </c>
      <c r="I1379" s="7">
        <v>20.3484</v>
      </c>
      <c r="J1379" s="7">
        <v>21.955</v>
      </c>
      <c r="K1379" s="7">
        <v>21.955</v>
      </c>
      <c r="L1379" s="7">
        <v>25.0646</v>
      </c>
      <c r="M1379" s="7"/>
      <c r="N1379" s="7">
        <v>20.0709</v>
      </c>
      <c r="O1379" s="8">
        <v>16.5085</v>
      </c>
      <c r="P1379" s="7">
        <v>29.3036</v>
      </c>
      <c r="Q1379" s="7">
        <v>29.3036</v>
      </c>
      <c r="R1379" s="7">
        <v>29.3036</v>
      </c>
      <c r="S1379" s="8">
        <v>29.3036</v>
      </c>
    </row>
    <row r="1380" spans="1:19" s="12" customFormat="1" ht="16.5" customHeight="1">
      <c r="A1380" s="3"/>
      <c r="B1380" s="13" t="s">
        <v>88</v>
      </c>
      <c r="C1380" s="7">
        <v>22.1859</v>
      </c>
      <c r="D1380" s="7"/>
      <c r="E1380" s="7">
        <v>21.8876</v>
      </c>
      <c r="F1380" s="7">
        <v>21.8787</v>
      </c>
      <c r="G1380" s="7">
        <v>24.1403</v>
      </c>
      <c r="H1380" s="14">
        <v>21.4748</v>
      </c>
      <c r="I1380" s="7">
        <v>20.1012</v>
      </c>
      <c r="J1380" s="7">
        <v>21.772</v>
      </c>
      <c r="K1380" s="7">
        <v>21.772</v>
      </c>
      <c r="L1380" s="7">
        <v>25.1434</v>
      </c>
      <c r="M1380" s="7"/>
      <c r="N1380" s="7">
        <v>19.8311</v>
      </c>
      <c r="O1380" s="8">
        <v>15.8496</v>
      </c>
      <c r="P1380" s="7">
        <v>29.6031</v>
      </c>
      <c r="Q1380" s="7">
        <v>29.6031</v>
      </c>
      <c r="R1380" s="7">
        <v>29.6031</v>
      </c>
      <c r="S1380" s="8">
        <v>29.6031</v>
      </c>
    </row>
    <row r="1381" spans="1:19" s="12" customFormat="1" ht="16.5" customHeight="1">
      <c r="A1381" s="3"/>
      <c r="B1381" s="4" t="s">
        <v>13</v>
      </c>
      <c r="C1381" s="11">
        <f>(C1376*3+C1377*7+C1378*7+C1379*7+C1380*7)/31</f>
        <v>20.931909677419352</v>
      </c>
      <c r="D1381" s="11"/>
      <c r="E1381" s="11">
        <f>(E1376*3+E1377*7+E1378*7+E1379*7+E1380*7)/31</f>
        <v>20.793293548387098</v>
      </c>
      <c r="F1381" s="11">
        <f aca="true" t="shared" si="206" ref="F1381:S1381">(F1376*3+F1377*7+F1378*7+F1379*7+F1380*7)/31</f>
        <v>20.901719354838708</v>
      </c>
      <c r="G1381" s="11">
        <f t="shared" si="206"/>
        <v>23.838783870967738</v>
      </c>
      <c r="H1381" s="11">
        <f t="shared" si="206"/>
        <v>20.356893548387095</v>
      </c>
      <c r="I1381" s="11">
        <f t="shared" si="206"/>
        <v>19.83467741935484</v>
      </c>
      <c r="J1381" s="11">
        <f t="shared" si="206"/>
        <v>21.481758064516132</v>
      </c>
      <c r="K1381" s="11">
        <f t="shared" si="206"/>
        <v>21.653512903225806</v>
      </c>
      <c r="L1381" s="11">
        <f t="shared" si="206"/>
        <v>24.49613870967742</v>
      </c>
      <c r="M1381" s="11"/>
      <c r="N1381" s="11">
        <f t="shared" si="206"/>
        <v>19.487248387096777</v>
      </c>
      <c r="O1381" s="38">
        <f t="shared" si="206"/>
        <v>16.601758064516133</v>
      </c>
      <c r="P1381" s="11">
        <f>(P1376*3+P1377*7+P1378*7+P1379*7+P1380*7)/31</f>
        <v>28.027751612903227</v>
      </c>
      <c r="Q1381" s="11">
        <f t="shared" si="206"/>
        <v>28.027751612903227</v>
      </c>
      <c r="R1381" s="48">
        <f t="shared" si="206"/>
        <v>28.027751612903227</v>
      </c>
      <c r="S1381" s="38">
        <f t="shared" si="206"/>
        <v>28.027751612903227</v>
      </c>
    </row>
    <row r="1382" spans="1:19" s="12" customFormat="1" ht="16.5" customHeight="1">
      <c r="A1382" s="3"/>
      <c r="B1382" s="13" t="s">
        <v>89</v>
      </c>
      <c r="C1382" s="7">
        <v>21.8384</v>
      </c>
      <c r="D1382" s="7"/>
      <c r="E1382" s="7">
        <v>21.5648</v>
      </c>
      <c r="F1382" s="7">
        <v>21.5905</v>
      </c>
      <c r="G1382" s="7">
        <v>24.0514</v>
      </c>
      <c r="H1382" s="14">
        <v>21.1511</v>
      </c>
      <c r="I1382" s="7">
        <v>19.8874</v>
      </c>
      <c r="J1382" s="7">
        <v>21.8129</v>
      </c>
      <c r="K1382" s="7">
        <v>22.4709</v>
      </c>
      <c r="L1382" s="7">
        <v>25.2126</v>
      </c>
      <c r="M1382" s="7"/>
      <c r="N1382" s="7">
        <v>19.658</v>
      </c>
      <c r="O1382" s="8">
        <v>15.567</v>
      </c>
      <c r="P1382" s="7">
        <v>29.583</v>
      </c>
      <c r="Q1382" s="7">
        <v>29.583</v>
      </c>
      <c r="R1382" s="7">
        <v>29.583</v>
      </c>
      <c r="S1382" s="8">
        <v>29.583</v>
      </c>
    </row>
    <row r="1383" spans="1:19" s="12" customFormat="1" ht="16.5" customHeight="1">
      <c r="A1383" s="3"/>
      <c r="B1383" s="13" t="s">
        <v>90</v>
      </c>
      <c r="C1383" s="7">
        <v>20.8821</v>
      </c>
      <c r="D1383" s="7"/>
      <c r="E1383" s="7">
        <v>20.7894</v>
      </c>
      <c r="F1383" s="7">
        <v>20.9045</v>
      </c>
      <c r="G1383" s="7">
        <v>23.8396</v>
      </c>
      <c r="H1383" s="14">
        <v>20.3803</v>
      </c>
      <c r="I1383" s="7">
        <v>19.5744</v>
      </c>
      <c r="J1383" s="7">
        <v>21.6796</v>
      </c>
      <c r="K1383" s="7">
        <v>22.3626</v>
      </c>
      <c r="L1383" s="7">
        <v>25.2085</v>
      </c>
      <c r="M1383" s="7"/>
      <c r="N1383" s="7">
        <v>19.5482</v>
      </c>
      <c r="O1383" s="8">
        <v>15.1998</v>
      </c>
      <c r="P1383" s="7">
        <v>29.5797</v>
      </c>
      <c r="Q1383" s="7">
        <v>29.5797</v>
      </c>
      <c r="R1383" s="7">
        <v>29.5797</v>
      </c>
      <c r="S1383" s="8">
        <v>29.5797</v>
      </c>
    </row>
    <row r="1384" spans="1:19" s="12" customFormat="1" ht="16.5" customHeight="1">
      <c r="A1384" s="3"/>
      <c r="B1384" s="13" t="s">
        <v>91</v>
      </c>
      <c r="C1384" s="7">
        <v>19.9017</v>
      </c>
      <c r="D1384" s="7"/>
      <c r="E1384" s="7">
        <v>20.0076</v>
      </c>
      <c r="F1384" s="7">
        <v>20.2113</v>
      </c>
      <c r="G1384" s="7">
        <v>23.6257</v>
      </c>
      <c r="H1384" s="14">
        <v>19.6016</v>
      </c>
      <c r="I1384" s="7">
        <v>18.7141</v>
      </c>
      <c r="J1384" s="7">
        <v>20.8157</v>
      </c>
      <c r="K1384" s="7">
        <v>21.4914</v>
      </c>
      <c r="L1384" s="7">
        <v>24.3066</v>
      </c>
      <c r="M1384" s="7"/>
      <c r="N1384" s="7">
        <v>18.759</v>
      </c>
      <c r="O1384" s="8">
        <v>14.9427</v>
      </c>
      <c r="P1384" s="7">
        <v>29.9055</v>
      </c>
      <c r="Q1384" s="7">
        <v>29.9055</v>
      </c>
      <c r="R1384" s="7">
        <v>29.9055</v>
      </c>
      <c r="S1384" s="8">
        <v>29.9055</v>
      </c>
    </row>
    <row r="1385" spans="1:19" s="12" customFormat="1" ht="16.5" customHeight="1">
      <c r="A1385" s="3"/>
      <c r="B1385" s="13" t="s">
        <v>92</v>
      </c>
      <c r="C1385" s="7">
        <v>19.4199</v>
      </c>
      <c r="D1385" s="7"/>
      <c r="E1385" s="7">
        <v>19.5961</v>
      </c>
      <c r="F1385" s="7">
        <v>19.8402</v>
      </c>
      <c r="G1385" s="7">
        <v>23.5112</v>
      </c>
      <c r="H1385" s="14">
        <v>19.1847</v>
      </c>
      <c r="I1385" s="7">
        <v>18.658</v>
      </c>
      <c r="J1385" s="7">
        <v>20.6701</v>
      </c>
      <c r="K1385" s="7">
        <v>21.3436</v>
      </c>
      <c r="L1385" s="7">
        <v>24.1498</v>
      </c>
      <c r="M1385" s="7"/>
      <c r="N1385" s="7">
        <v>18.6133</v>
      </c>
      <c r="O1385" s="8">
        <v>15.0654</v>
      </c>
      <c r="P1385" s="7">
        <v>29.9598</v>
      </c>
      <c r="Q1385" s="7">
        <v>29.9598</v>
      </c>
      <c r="R1385" s="7">
        <v>29.9598</v>
      </c>
      <c r="S1385" s="8">
        <v>29.9598</v>
      </c>
    </row>
    <row r="1386" spans="1:19" s="12" customFormat="1" ht="16.5" customHeight="1">
      <c r="A1386" s="3"/>
      <c r="B1386" s="13" t="s">
        <v>93</v>
      </c>
      <c r="C1386" s="7">
        <v>18.8793</v>
      </c>
      <c r="D1386" s="7"/>
      <c r="E1386" s="7">
        <v>19.0791</v>
      </c>
      <c r="F1386" s="7">
        <v>19.3746</v>
      </c>
      <c r="G1386" s="7">
        <v>23.3675</v>
      </c>
      <c r="H1386" s="14">
        <v>18.6616</v>
      </c>
      <c r="I1386" s="7">
        <v>18.0106</v>
      </c>
      <c r="J1386" s="7">
        <v>20.2094</v>
      </c>
      <c r="K1386" s="7">
        <v>20.9302</v>
      </c>
      <c r="L1386" s="7">
        <v>23.9335</v>
      </c>
      <c r="M1386" s="7"/>
      <c r="N1386" s="7">
        <v>18.0383</v>
      </c>
      <c r="O1386" s="8">
        <v>14.6323</v>
      </c>
      <c r="P1386" s="7">
        <v>28.8135</v>
      </c>
      <c r="Q1386" s="7">
        <v>28.8135</v>
      </c>
      <c r="R1386" s="7">
        <v>28.8135</v>
      </c>
      <c r="S1386" s="8">
        <v>28.8135</v>
      </c>
    </row>
    <row r="1387" spans="1:19" s="12" customFormat="1" ht="16.5" customHeight="1">
      <c r="A1387" s="3"/>
      <c r="B1387" s="4" t="s">
        <v>13</v>
      </c>
      <c r="C1387" s="11">
        <f>(C1382*7+C1383*7+C1384*7+C1385*7+C1386*2)/30</f>
        <v>20.401776666666667</v>
      </c>
      <c r="D1387" s="11"/>
      <c r="E1387" s="11">
        <f aca="true" t="shared" si="207" ref="E1387:S1387">(E1382*7+E1383*7+E1384*7+E1385*7+E1386*2)/30</f>
        <v>20.39545</v>
      </c>
      <c r="F1387" s="11">
        <f t="shared" si="207"/>
        <v>20.55249</v>
      </c>
      <c r="G1387" s="11">
        <f t="shared" si="207"/>
        <v>23.73101</v>
      </c>
      <c r="H1387" s="11">
        <f t="shared" si="207"/>
        <v>19.98490333333333</v>
      </c>
      <c r="I1387" s="11">
        <f t="shared" si="207"/>
        <v>19.128616666666666</v>
      </c>
      <c r="J1387" s="11">
        <f t="shared" si="207"/>
        <v>21.175563333333336</v>
      </c>
      <c r="K1387" s="11">
        <f t="shared" si="207"/>
        <v>21.85133</v>
      </c>
      <c r="L1387" s="11">
        <f t="shared" si="207"/>
        <v>24.66698333333333</v>
      </c>
      <c r="M1387" s="11"/>
      <c r="N1387" s="11">
        <f t="shared" si="207"/>
        <v>19.07087</v>
      </c>
      <c r="O1387" s="38">
        <f t="shared" si="207"/>
        <v>15.156296666666666</v>
      </c>
      <c r="P1387" s="11">
        <f t="shared" si="207"/>
        <v>29.6941</v>
      </c>
      <c r="Q1387" s="11">
        <f t="shared" si="207"/>
        <v>29.6941</v>
      </c>
      <c r="R1387" s="48">
        <f t="shared" si="207"/>
        <v>29.6941</v>
      </c>
      <c r="S1387" s="38">
        <f t="shared" si="207"/>
        <v>29.6941</v>
      </c>
    </row>
    <row r="1388" spans="1:19" s="12" customFormat="1" ht="16.5" customHeight="1">
      <c r="A1388" s="3"/>
      <c r="B1388" s="13" t="s">
        <v>40</v>
      </c>
      <c r="C1388" s="7">
        <v>17.8847</v>
      </c>
      <c r="D1388" s="7"/>
      <c r="E1388" s="7">
        <v>18.18</v>
      </c>
      <c r="F1388" s="7">
        <v>18.5717</v>
      </c>
      <c r="G1388" s="7">
        <v>23.1127</v>
      </c>
      <c r="H1388" s="14">
        <v>17.7608</v>
      </c>
      <c r="I1388" s="7">
        <v>17.1331</v>
      </c>
      <c r="J1388" s="7">
        <v>19.3136</v>
      </c>
      <c r="K1388" s="7">
        <v>19.3136</v>
      </c>
      <c r="L1388" s="7">
        <v>19.3136</v>
      </c>
      <c r="M1388" s="7"/>
      <c r="N1388" s="7">
        <v>17.0755</v>
      </c>
      <c r="O1388" s="8">
        <v>13.5592</v>
      </c>
      <c r="P1388" s="7">
        <v>27.6227</v>
      </c>
      <c r="Q1388" s="7">
        <v>27.6227</v>
      </c>
      <c r="R1388" s="7">
        <v>27.6227</v>
      </c>
      <c r="S1388" s="8">
        <v>27.6227</v>
      </c>
    </row>
    <row r="1389" spans="1:19" s="12" customFormat="1" ht="16.5" customHeight="1">
      <c r="A1389" s="3"/>
      <c r="B1389" s="13" t="s">
        <v>94</v>
      </c>
      <c r="C1389" s="7">
        <v>18.6933</v>
      </c>
      <c r="D1389" s="7"/>
      <c r="E1389" s="7">
        <v>18.9172</v>
      </c>
      <c r="F1389" s="7">
        <v>19.2294</v>
      </c>
      <c r="G1389" s="7">
        <v>23.3157</v>
      </c>
      <c r="H1389" s="14">
        <v>18.4997</v>
      </c>
      <c r="I1389" s="7">
        <v>17.7929</v>
      </c>
      <c r="J1389" s="7">
        <v>19.9798</v>
      </c>
      <c r="K1389" s="7">
        <v>19.9798</v>
      </c>
      <c r="L1389" s="7">
        <v>19.9798</v>
      </c>
      <c r="M1389" s="7"/>
      <c r="N1389" s="7">
        <v>17.7298</v>
      </c>
      <c r="O1389" s="8">
        <v>13.8375</v>
      </c>
      <c r="P1389" s="7">
        <v>27.6227</v>
      </c>
      <c r="Q1389" s="7">
        <v>27.6227</v>
      </c>
      <c r="R1389" s="7">
        <v>27.6227</v>
      </c>
      <c r="S1389" s="8">
        <v>27.6227</v>
      </c>
    </row>
    <row r="1390" spans="1:19" s="12" customFormat="1" ht="16.5" customHeight="1">
      <c r="A1390" s="3"/>
      <c r="B1390" s="13" t="s">
        <v>95</v>
      </c>
      <c r="C1390" s="7">
        <v>19.0707</v>
      </c>
      <c r="D1390" s="7"/>
      <c r="E1390" s="7">
        <v>19.2439</v>
      </c>
      <c r="F1390" s="7">
        <v>19.5225</v>
      </c>
      <c r="G1390" s="7">
        <v>23.4062</v>
      </c>
      <c r="H1390" s="14">
        <v>18.829</v>
      </c>
      <c r="I1390" s="7">
        <v>18.1711</v>
      </c>
      <c r="J1390" s="7">
        <v>20.2784</v>
      </c>
      <c r="K1390" s="7">
        <v>20.2784</v>
      </c>
      <c r="L1390" s="7">
        <v>20.2784</v>
      </c>
      <c r="M1390" s="7"/>
      <c r="N1390" s="7">
        <v>17.952</v>
      </c>
      <c r="O1390" s="8">
        <v>14.0669</v>
      </c>
      <c r="P1390" s="7">
        <v>25.4445</v>
      </c>
      <c r="Q1390" s="7">
        <v>25.4445</v>
      </c>
      <c r="R1390" s="7">
        <v>25.4445</v>
      </c>
      <c r="S1390" s="8">
        <v>25.4445</v>
      </c>
    </row>
    <row r="1391" spans="1:19" s="12" customFormat="1" ht="16.5" customHeight="1">
      <c r="A1391" s="3"/>
      <c r="B1391" s="13" t="s">
        <v>96</v>
      </c>
      <c r="C1391" s="7">
        <v>18.9622</v>
      </c>
      <c r="D1391" s="7"/>
      <c r="E1391" s="7">
        <v>19.2459</v>
      </c>
      <c r="F1391" s="7">
        <v>19.5225</v>
      </c>
      <c r="G1391" s="7">
        <v>23.4062</v>
      </c>
      <c r="H1391" s="14">
        <v>18.829</v>
      </c>
      <c r="I1391" s="7">
        <v>17.9616</v>
      </c>
      <c r="J1391" s="7">
        <v>20.1779</v>
      </c>
      <c r="K1391" s="7">
        <v>20.1779</v>
      </c>
      <c r="L1391" s="7">
        <v>20.1779</v>
      </c>
      <c r="M1391" s="7"/>
      <c r="N1391" s="7">
        <v>17.7634</v>
      </c>
      <c r="O1391" s="8">
        <v>14.074</v>
      </c>
      <c r="P1391" s="7">
        <v>25.0815</v>
      </c>
      <c r="Q1391" s="7">
        <v>25.0815</v>
      </c>
      <c r="R1391" s="7">
        <v>25.0815</v>
      </c>
      <c r="S1391" s="8">
        <v>25.0815</v>
      </c>
    </row>
    <row r="1392" spans="1:19" s="12" customFormat="1" ht="16.5" customHeight="1">
      <c r="A1392" s="3"/>
      <c r="B1392" s="13" t="s">
        <v>97</v>
      </c>
      <c r="C1392" s="7">
        <v>19.6346</v>
      </c>
      <c r="D1392" s="7"/>
      <c r="E1392" s="7">
        <v>19.8595</v>
      </c>
      <c r="F1392" s="7">
        <v>20.0694</v>
      </c>
      <c r="G1392" s="7">
        <v>23.575</v>
      </c>
      <c r="H1392" s="14">
        <v>19.4434</v>
      </c>
      <c r="I1392" s="7">
        <v>18.5206</v>
      </c>
      <c r="J1392" s="7">
        <v>20.9341</v>
      </c>
      <c r="K1392" s="7">
        <v>20.9341</v>
      </c>
      <c r="L1392" s="7">
        <v>20.9341</v>
      </c>
      <c r="M1392" s="7"/>
      <c r="N1392" s="7">
        <v>18.4722</v>
      </c>
      <c r="O1392" s="8">
        <v>14.7395</v>
      </c>
      <c r="P1392" s="7">
        <v>25.1898</v>
      </c>
      <c r="Q1392" s="7">
        <v>25.1898</v>
      </c>
      <c r="R1392" s="7">
        <v>25.1898</v>
      </c>
      <c r="S1392" s="8">
        <v>25.1898</v>
      </c>
    </row>
    <row r="1393" spans="1:19" s="12" customFormat="1" ht="16.5" customHeight="1">
      <c r="A1393" s="3"/>
      <c r="B1393" s="4" t="s">
        <v>13</v>
      </c>
      <c r="C1393" s="11">
        <f>(C1388*5+C1389*7+C1390*7+C1391*7+C1392*5)/31</f>
        <v>18.86064193548387</v>
      </c>
      <c r="D1393" s="11"/>
      <c r="E1393" s="11">
        <f aca="true" t="shared" si="208" ref="E1393:S1393">(E1388*5+E1389*7+E1390*7+E1391*7+E1392*5)/31</f>
        <v>19.098274193548384</v>
      </c>
      <c r="F1393" s="11">
        <f t="shared" si="208"/>
        <v>19.391170967741935</v>
      </c>
      <c r="G1393" s="11">
        <f t="shared" si="208"/>
        <v>23.365651612903225</v>
      </c>
      <c r="H1393" s="11">
        <f t="shared" si="208"/>
        <v>18.681448387096776</v>
      </c>
      <c r="I1393" s="11">
        <f t="shared" si="208"/>
        <v>17.927345161290322</v>
      </c>
      <c r="J1393" s="11">
        <f t="shared" si="208"/>
        <v>20.138425806451618</v>
      </c>
      <c r="K1393" s="11">
        <f t="shared" si="208"/>
        <v>20.138425806451618</v>
      </c>
      <c r="L1393" s="11">
        <f t="shared" si="208"/>
        <v>20.138425806451618</v>
      </c>
      <c r="M1393" s="11"/>
      <c r="N1393" s="11">
        <f t="shared" si="208"/>
        <v>17.801770967741938</v>
      </c>
      <c r="O1393" s="38">
        <f t="shared" si="208"/>
        <v>14.0433</v>
      </c>
      <c r="P1393" s="11">
        <f t="shared" si="208"/>
        <v>26.16462580645161</v>
      </c>
      <c r="Q1393" s="11">
        <f t="shared" si="208"/>
        <v>26.16462580645161</v>
      </c>
      <c r="R1393" s="48">
        <f t="shared" si="208"/>
        <v>26.16462580645161</v>
      </c>
      <c r="S1393" s="38">
        <f t="shared" si="208"/>
        <v>26.16462580645161</v>
      </c>
    </row>
    <row r="1394" spans="1:19" s="12" customFormat="1" ht="16.5" customHeight="1">
      <c r="A1394" s="20"/>
      <c r="B1394" s="19">
        <v>2022</v>
      </c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39"/>
      <c r="P1394" s="14"/>
      <c r="S1394" s="15"/>
    </row>
    <row r="1395" spans="1:19" s="12" customFormat="1" ht="16.5" customHeight="1">
      <c r="A1395" s="3"/>
      <c r="B1395" s="13" t="s">
        <v>212</v>
      </c>
      <c r="C1395" s="7">
        <v>19.9016</v>
      </c>
      <c r="D1395" s="7"/>
      <c r="E1395" s="7">
        <v>20.1252</v>
      </c>
      <c r="F1395" s="7">
        <v>20.3487</v>
      </c>
      <c r="G1395" s="7">
        <v>23.9239</v>
      </c>
      <c r="H1395" s="14">
        <v>19.7102</v>
      </c>
      <c r="I1395" s="7">
        <v>18.6886</v>
      </c>
      <c r="J1395" s="7">
        <v>21.1983</v>
      </c>
      <c r="K1395" s="7">
        <v>21.1983</v>
      </c>
      <c r="L1395" s="7">
        <v>21.1983</v>
      </c>
      <c r="M1395" s="7"/>
      <c r="N1395" s="7">
        <v>18.7568</v>
      </c>
      <c r="O1395" s="8">
        <v>15.0434</v>
      </c>
      <c r="P1395" s="7">
        <v>25.2169</v>
      </c>
      <c r="Q1395" s="7">
        <v>25.2169</v>
      </c>
      <c r="R1395" s="7">
        <v>25.2169</v>
      </c>
      <c r="S1395" s="8">
        <v>25.2169</v>
      </c>
    </row>
    <row r="1396" spans="1:19" s="12" customFormat="1" ht="16.5" customHeight="1">
      <c r="A1396" s="3"/>
      <c r="B1396" s="13" t="s">
        <v>98</v>
      </c>
      <c r="C1396" s="7">
        <v>19.9892</v>
      </c>
      <c r="D1396" s="7"/>
      <c r="E1396" s="7">
        <v>20.2012</v>
      </c>
      <c r="F1396" s="7">
        <v>20.4168</v>
      </c>
      <c r="G1396" s="7">
        <v>23.9449</v>
      </c>
      <c r="H1396" s="14">
        <v>19.7868</v>
      </c>
      <c r="I1396" s="7">
        <v>18.9058</v>
      </c>
      <c r="J1396" s="7">
        <v>21.525</v>
      </c>
      <c r="K1396" s="7">
        <v>21.525</v>
      </c>
      <c r="L1396" s="7">
        <v>21.525</v>
      </c>
      <c r="M1396" s="7"/>
      <c r="N1396" s="7">
        <v>19.0451</v>
      </c>
      <c r="O1396" s="8">
        <v>15.1392</v>
      </c>
      <c r="P1396" s="7">
        <v>25.2169</v>
      </c>
      <c r="Q1396" s="7">
        <v>25.2169</v>
      </c>
      <c r="R1396" s="7">
        <v>25.2169</v>
      </c>
      <c r="S1396" s="8">
        <v>25.2169</v>
      </c>
    </row>
    <row r="1397" spans="1:19" s="12" customFormat="1" ht="16.5" customHeight="1">
      <c r="A1397" s="3"/>
      <c r="B1397" s="13" t="s">
        <v>99</v>
      </c>
      <c r="C1397" s="7">
        <v>20.4934</v>
      </c>
      <c r="D1397" s="7"/>
      <c r="E1397" s="7">
        <v>20.7072</v>
      </c>
      <c r="F1397" s="7">
        <v>20.8668</v>
      </c>
      <c r="G1397" s="7">
        <v>24.0838</v>
      </c>
      <c r="H1397" s="14">
        <v>20.2923</v>
      </c>
      <c r="I1397" s="7">
        <v>20.1104</v>
      </c>
      <c r="J1397" s="7">
        <v>22.5365</v>
      </c>
      <c r="K1397" s="7">
        <v>22.5365</v>
      </c>
      <c r="L1397" s="7">
        <v>22.5365</v>
      </c>
      <c r="M1397" s="7"/>
      <c r="N1397" s="7">
        <v>19.9896</v>
      </c>
      <c r="O1397" s="8">
        <v>15.6704</v>
      </c>
      <c r="P1397" s="7">
        <v>26.0738</v>
      </c>
      <c r="Q1397" s="7">
        <v>26.0738</v>
      </c>
      <c r="R1397" s="7">
        <v>26.0738</v>
      </c>
      <c r="S1397" s="8">
        <v>26.0738</v>
      </c>
    </row>
    <row r="1398" spans="1:19" s="12" customFormat="1" ht="16.5" customHeight="1">
      <c r="A1398" s="3"/>
      <c r="B1398" s="13" t="s">
        <v>100</v>
      </c>
      <c r="C1398" s="7">
        <v>21.0132</v>
      </c>
      <c r="D1398" s="7"/>
      <c r="E1398" s="7">
        <v>21.1849</v>
      </c>
      <c r="F1398" s="7">
        <v>21.2958</v>
      </c>
      <c r="G1398" s="7">
        <v>24.2162</v>
      </c>
      <c r="H1398" s="14">
        <v>20.7743</v>
      </c>
      <c r="I1398" s="7">
        <v>20.8137</v>
      </c>
      <c r="J1398" s="7">
        <v>23.4676</v>
      </c>
      <c r="K1398" s="7">
        <v>23.4676</v>
      </c>
      <c r="L1398" s="7">
        <v>23.4676</v>
      </c>
      <c r="M1398" s="7"/>
      <c r="N1398" s="7">
        <v>20.7634</v>
      </c>
      <c r="O1398" s="8">
        <v>16.5467</v>
      </c>
      <c r="P1398" s="7">
        <v>26.2166</v>
      </c>
      <c r="Q1398" s="7">
        <v>26.2166</v>
      </c>
      <c r="R1398" s="7">
        <v>26.2166</v>
      </c>
      <c r="S1398" s="8">
        <v>26.2166</v>
      </c>
    </row>
    <row r="1399" spans="1:19" s="12" customFormat="1" ht="16.5" customHeight="1">
      <c r="A1399" s="3"/>
      <c r="B1399" s="13" t="s">
        <v>102</v>
      </c>
      <c r="C1399" s="7">
        <v>21.5121</v>
      </c>
      <c r="D1399" s="7"/>
      <c r="E1399" s="7">
        <v>21.6007</v>
      </c>
      <c r="F1399" s="7">
        <v>21.6656</v>
      </c>
      <c r="G1399" s="7">
        <v>24.3304</v>
      </c>
      <c r="H1399" s="14">
        <v>21.1898</v>
      </c>
      <c r="I1399" s="7">
        <v>21.0834</v>
      </c>
      <c r="J1399" s="7">
        <v>23.9135</v>
      </c>
      <c r="K1399" s="7">
        <v>23.9135</v>
      </c>
      <c r="L1399" s="7">
        <v>23.9135</v>
      </c>
      <c r="M1399" s="7"/>
      <c r="N1399" s="7">
        <v>21.1415</v>
      </c>
      <c r="O1399" s="8">
        <v>16.9279</v>
      </c>
      <c r="P1399" s="7">
        <v>26.7659</v>
      </c>
      <c r="Q1399" s="7">
        <v>26.7659</v>
      </c>
      <c r="R1399" s="7">
        <v>26.7659</v>
      </c>
      <c r="S1399" s="8">
        <v>26.7659</v>
      </c>
    </row>
    <row r="1400" spans="1:19" s="12" customFormat="1" ht="16.5" customHeight="1">
      <c r="A1400" s="3"/>
      <c r="B1400" s="13" t="s">
        <v>104</v>
      </c>
      <c r="C1400" s="7">
        <v>22.1425</v>
      </c>
      <c r="D1400" s="7"/>
      <c r="E1400" s="7">
        <v>22.0909</v>
      </c>
      <c r="F1400" s="7">
        <v>22.1</v>
      </c>
      <c r="G1400" s="7">
        <v>24.4645</v>
      </c>
      <c r="H1400" s="14">
        <v>21.6778</v>
      </c>
      <c r="I1400" s="7">
        <v>21.6517</v>
      </c>
      <c r="J1400" s="7">
        <v>24.4435</v>
      </c>
      <c r="K1400" s="7">
        <v>24.4435</v>
      </c>
      <c r="L1400" s="7">
        <v>24.4435</v>
      </c>
      <c r="M1400" s="7"/>
      <c r="N1400" s="7">
        <v>21.7344</v>
      </c>
      <c r="O1400" s="8">
        <v>17.1551</v>
      </c>
      <c r="P1400" s="7">
        <v>26.8574</v>
      </c>
      <c r="Q1400" s="7">
        <v>26.8574</v>
      </c>
      <c r="R1400" s="7">
        <v>26.8574</v>
      </c>
      <c r="S1400" s="8">
        <v>26.8574</v>
      </c>
    </row>
    <row r="1401" spans="1:19" s="12" customFormat="1" ht="16.5" customHeight="1">
      <c r="A1401" s="3"/>
      <c r="B1401" s="4" t="s">
        <v>13</v>
      </c>
      <c r="C1401" s="11">
        <f>(C1395*2+C1396*7+C1397*7+C1398*7+C1399*7+C1400*1)/31</f>
        <v>20.741967741935486</v>
      </c>
      <c r="D1401" s="11"/>
      <c r="E1401" s="11">
        <f aca="true" t="shared" si="209" ref="E1401:S1401">(E1395*2+E1396*7+E1397*7+E1398*7+E1399*7+E1400*1)/31</f>
        <v>20.90965483870968</v>
      </c>
      <c r="F1401" s="11">
        <f t="shared" si="209"/>
        <v>21.04878709677419</v>
      </c>
      <c r="G1401" s="11">
        <f t="shared" si="209"/>
        <v>24.139980645161295</v>
      </c>
      <c r="H1401" s="11">
        <f t="shared" si="209"/>
        <v>20.4967935483871</v>
      </c>
      <c r="I1401" s="11">
        <f t="shared" si="209"/>
        <v>20.17490322580645</v>
      </c>
      <c r="J1401" s="11">
        <f>(J1395*2+J1396*7+J1397*7+J1398*7+J1399*7+J1400*1)/31</f>
        <v>22.80446129032258</v>
      </c>
      <c r="K1401" s="11">
        <f t="shared" si="209"/>
        <v>22.80446129032258</v>
      </c>
      <c r="L1401" s="11">
        <f t="shared" si="209"/>
        <v>22.80446129032258</v>
      </c>
      <c r="M1401" s="11"/>
      <c r="N1401" s="11">
        <f t="shared" si="209"/>
        <v>20.18790967741936</v>
      </c>
      <c r="O1401" s="38">
        <f t="shared" si="209"/>
        <v>16.039719354838713</v>
      </c>
      <c r="P1401" s="11">
        <f t="shared" si="209"/>
        <v>26.038825806451612</v>
      </c>
      <c r="Q1401" s="11">
        <f t="shared" si="209"/>
        <v>26.038825806451612</v>
      </c>
      <c r="R1401" s="48">
        <f t="shared" si="209"/>
        <v>26.038825806451612</v>
      </c>
      <c r="S1401" s="38">
        <f t="shared" si="209"/>
        <v>26.038825806451612</v>
      </c>
    </row>
    <row r="1402" spans="1:19" s="12" customFormat="1" ht="16.5" customHeight="1">
      <c r="A1402" s="3"/>
      <c r="B1402" s="13" t="s">
        <v>221</v>
      </c>
      <c r="C1402" s="7">
        <v>22.4387</v>
      </c>
      <c r="D1402" s="7"/>
      <c r="E1402" s="7">
        <v>22.2774</v>
      </c>
      <c r="F1402" s="7">
        <v>22.2755</v>
      </c>
      <c r="G1402" s="7">
        <v>24.5739</v>
      </c>
      <c r="H1402" s="14">
        <v>21.8651</v>
      </c>
      <c r="I1402" s="7">
        <v>21.8497</v>
      </c>
      <c r="J1402" s="7">
        <v>24.4314</v>
      </c>
      <c r="K1402" s="7">
        <v>24.4314</v>
      </c>
      <c r="L1402" s="7">
        <v>24.4314</v>
      </c>
      <c r="M1402" s="7"/>
      <c r="N1402" s="7">
        <v>21.9264</v>
      </c>
      <c r="O1402" s="8">
        <v>17.1557</v>
      </c>
      <c r="P1402" s="7"/>
      <c r="Q1402" s="7">
        <v>26.8574</v>
      </c>
      <c r="R1402" s="7">
        <v>26.8574</v>
      </c>
      <c r="S1402" s="8">
        <v>26.8574</v>
      </c>
    </row>
    <row r="1403" spans="1:19" s="12" customFormat="1" ht="16.5" customHeight="1">
      <c r="A1403" s="3"/>
      <c r="B1403" s="13" t="s">
        <v>342</v>
      </c>
      <c r="C1403" s="7">
        <v>22.6747</v>
      </c>
      <c r="D1403" s="7"/>
      <c r="E1403" s="7">
        <v>22.6249</v>
      </c>
      <c r="F1403" s="7">
        <v>22.5887</v>
      </c>
      <c r="G1403" s="7">
        <v>24.6706</v>
      </c>
      <c r="H1403" s="14">
        <v>22.217</v>
      </c>
      <c r="I1403" s="7">
        <v>22.0265</v>
      </c>
      <c r="J1403" s="7">
        <v>24.1164</v>
      </c>
      <c r="K1403" s="7">
        <v>24.1164</v>
      </c>
      <c r="L1403" s="7">
        <v>24.1164</v>
      </c>
      <c r="M1403" s="7"/>
      <c r="N1403" s="7">
        <v>22.2854</v>
      </c>
      <c r="O1403" s="8">
        <v>16.9885</v>
      </c>
      <c r="P1403" s="7"/>
      <c r="Q1403" s="7">
        <v>27.1274</v>
      </c>
      <c r="R1403" s="7">
        <v>27.1274</v>
      </c>
      <c r="S1403" s="8">
        <v>27.1274</v>
      </c>
    </row>
    <row r="1404" spans="1:19" s="12" customFormat="1" ht="16.5" customHeight="1">
      <c r="A1404" s="3"/>
      <c r="B1404" s="13" t="s">
        <v>343</v>
      </c>
      <c r="C1404" s="7">
        <v>22.8917</v>
      </c>
      <c r="D1404" s="7"/>
      <c r="E1404" s="7">
        <v>22.7781</v>
      </c>
      <c r="F1404" s="7">
        <v>22.7304</v>
      </c>
      <c r="G1404" s="7">
        <v>24.7143</v>
      </c>
      <c r="H1404" s="14">
        <v>22.3761</v>
      </c>
      <c r="I1404" s="7">
        <v>21.9499</v>
      </c>
      <c r="J1404" s="7">
        <v>24.0024</v>
      </c>
      <c r="K1404" s="7">
        <v>24.0024</v>
      </c>
      <c r="L1404" s="7">
        <v>24.0024</v>
      </c>
      <c r="M1404" s="7"/>
      <c r="N1404" s="7">
        <v>22.2985</v>
      </c>
      <c r="O1404" s="8">
        <v>16.9447</v>
      </c>
      <c r="P1404" s="7"/>
      <c r="Q1404" s="7">
        <v>27.1724</v>
      </c>
      <c r="R1404" s="7">
        <v>27.1724</v>
      </c>
      <c r="S1404" s="8">
        <v>27.1724</v>
      </c>
    </row>
    <row r="1405" spans="1:19" s="12" customFormat="1" ht="16.5" customHeight="1">
      <c r="A1405" s="3"/>
      <c r="B1405" s="13" t="s">
        <v>344</v>
      </c>
      <c r="C1405" s="7">
        <v>23.338</v>
      </c>
      <c r="D1405" s="7"/>
      <c r="E1405" s="7">
        <v>23.1099</v>
      </c>
      <c r="F1405" s="7">
        <v>23.026</v>
      </c>
      <c r="G1405" s="7">
        <v>24.8056</v>
      </c>
      <c r="H1405" s="14">
        <v>22.7083</v>
      </c>
      <c r="I1405" s="7">
        <v>22.2333</v>
      </c>
      <c r="J1405" s="7">
        <v>24.25</v>
      </c>
      <c r="K1405" s="7">
        <v>24.25</v>
      </c>
      <c r="L1405" s="7">
        <v>24.25</v>
      </c>
      <c r="M1405" s="7"/>
      <c r="N1405" s="7">
        <v>22.6235</v>
      </c>
      <c r="O1405" s="8">
        <v>17.4071</v>
      </c>
      <c r="P1405" s="7"/>
      <c r="Q1405" s="7">
        <v>27.0427</v>
      </c>
      <c r="R1405" s="7">
        <v>27.0427</v>
      </c>
      <c r="S1405" s="8">
        <v>27.0427</v>
      </c>
    </row>
    <row r="1406" spans="1:19" s="12" customFormat="1" ht="16.5" customHeight="1">
      <c r="A1406" s="3"/>
      <c r="B1406" s="13" t="s">
        <v>345</v>
      </c>
      <c r="C1406" s="7">
        <v>24.109</v>
      </c>
      <c r="D1406" s="7"/>
      <c r="E1406" s="7">
        <v>23.7802</v>
      </c>
      <c r="F1406" s="7">
        <v>23.6206</v>
      </c>
      <c r="G1406" s="7">
        <v>24.9891</v>
      </c>
      <c r="H1406" s="14">
        <v>23.3762</v>
      </c>
      <c r="I1406" s="7">
        <v>22.9938</v>
      </c>
      <c r="J1406" s="7">
        <v>25.0154</v>
      </c>
      <c r="K1406" s="7">
        <v>25.0154</v>
      </c>
      <c r="L1406" s="7">
        <v>25.0154</v>
      </c>
      <c r="M1406" s="7"/>
      <c r="N1406" s="7">
        <v>23.4196</v>
      </c>
      <c r="O1406" s="8">
        <v>17.8882</v>
      </c>
      <c r="P1406" s="7"/>
      <c r="Q1406" s="7">
        <v>27.0211</v>
      </c>
      <c r="R1406" s="7">
        <v>27.0211</v>
      </c>
      <c r="S1406" s="8">
        <v>27.0211</v>
      </c>
    </row>
    <row r="1407" spans="1:19" s="12" customFormat="1" ht="16.5" customHeight="1">
      <c r="A1407" s="3"/>
      <c r="B1407" s="4" t="s">
        <v>13</v>
      </c>
      <c r="C1407" s="11">
        <f>(C1402*6+C1403*7+C1404*7+C1405*7+C1406*1)/28</f>
        <v>22.89542857142857</v>
      </c>
      <c r="D1407" s="11"/>
      <c r="E1407" s="11">
        <f aca="true" t="shared" si="210" ref="E1407:R1407">(E1402*6+E1403*7+E1404*7+E1405*7+E1406*1)/28</f>
        <v>22.751246428571427</v>
      </c>
      <c r="F1407" s="11">
        <f t="shared" si="210"/>
        <v>22.703189285714284</v>
      </c>
      <c r="G1407" s="11">
        <f t="shared" si="210"/>
        <v>24.70592857142857</v>
      </c>
      <c r="H1407" s="11">
        <f>(H1402*6+H1403*7+H1404*7+H1405*7+H1406*1)/28</f>
        <v>22.34559285714286</v>
      </c>
      <c r="I1407" s="11">
        <f t="shared" si="210"/>
        <v>22.055710714285713</v>
      </c>
      <c r="J1407" s="11">
        <f t="shared" si="210"/>
        <v>24.22090714285714</v>
      </c>
      <c r="K1407" s="11">
        <f t="shared" si="210"/>
        <v>24.22090714285714</v>
      </c>
      <c r="L1407" s="11">
        <f t="shared" si="210"/>
        <v>24.22090714285714</v>
      </c>
      <c r="M1407" s="11"/>
      <c r="N1407" s="11">
        <f t="shared" si="210"/>
        <v>22.33677857142857</v>
      </c>
      <c r="O1407" s="38">
        <f t="shared" si="210"/>
        <v>17.150160714285715</v>
      </c>
      <c r="P1407" s="11"/>
      <c r="Q1407" s="11">
        <f t="shared" si="210"/>
        <v>27.055821428571427</v>
      </c>
      <c r="R1407" s="48">
        <f t="shared" si="210"/>
        <v>27.055821428571427</v>
      </c>
      <c r="S1407" s="38">
        <f>(S1402*6+S1403*7+S1404*7+S1405*7+S1406*1)/28</f>
        <v>27.055821428571427</v>
      </c>
    </row>
    <row r="1408" spans="1:19" s="12" customFormat="1" ht="16.5" customHeight="1">
      <c r="A1408" s="3"/>
      <c r="B1408" s="13" t="s">
        <v>54</v>
      </c>
      <c r="C1408" s="7">
        <v>25.8479</v>
      </c>
      <c r="D1408" s="7"/>
      <c r="E1408" s="7">
        <v>25.3606</v>
      </c>
      <c r="F1408" s="12">
        <v>25.0275</v>
      </c>
      <c r="G1408" s="7">
        <v>25.4302</v>
      </c>
      <c r="H1408" s="7">
        <v>24.9556</v>
      </c>
      <c r="I1408" s="7">
        <v>24.8013</v>
      </c>
      <c r="J1408" s="7">
        <v>27.4443</v>
      </c>
      <c r="K1408" s="7">
        <v>27.4443</v>
      </c>
      <c r="L1408" s="7">
        <v>27.4443</v>
      </c>
      <c r="M1408" s="7"/>
      <c r="N1408" s="7">
        <v>25.9176</v>
      </c>
      <c r="O1408" s="8">
        <v>19.1792</v>
      </c>
      <c r="P1408" s="7"/>
      <c r="Q1408" s="7">
        <v>27.0211</v>
      </c>
      <c r="R1408" s="7">
        <v>27.0211</v>
      </c>
      <c r="S1408" s="8">
        <v>27.0211</v>
      </c>
    </row>
    <row r="1409" spans="1:19" s="12" customFormat="1" ht="16.5" customHeight="1">
      <c r="A1409" s="3"/>
      <c r="B1409" s="13" t="s">
        <v>111</v>
      </c>
      <c r="C1409" s="7">
        <v>29.4551</v>
      </c>
      <c r="D1409" s="7"/>
      <c r="E1409" s="7">
        <v>28.5129</v>
      </c>
      <c r="F1409" s="12">
        <v>27.8291</v>
      </c>
      <c r="G1409" s="7">
        <v>26.3993</v>
      </c>
      <c r="H1409" s="7">
        <v>28.1031</v>
      </c>
      <c r="I1409" s="7">
        <v>30.5481</v>
      </c>
      <c r="J1409" s="7">
        <v>33.456</v>
      </c>
      <c r="K1409" s="7">
        <v>33.456</v>
      </c>
      <c r="L1409" s="7">
        <v>33.456</v>
      </c>
      <c r="M1409" s="7"/>
      <c r="N1409" s="7">
        <v>31.5689</v>
      </c>
      <c r="O1409" s="8">
        <v>22.7281</v>
      </c>
      <c r="P1409" s="7"/>
      <c r="Q1409" s="7">
        <v>29.7129</v>
      </c>
      <c r="R1409" s="7">
        <v>29.7129</v>
      </c>
      <c r="S1409" s="8">
        <v>29.7129</v>
      </c>
    </row>
    <row r="1410" spans="1:19" s="12" customFormat="1" ht="16.5" customHeight="1">
      <c r="A1410" s="3"/>
      <c r="B1410" s="13" t="s">
        <v>112</v>
      </c>
      <c r="C1410" s="7">
        <v>26.7315</v>
      </c>
      <c r="D1410" s="7"/>
      <c r="E1410" s="7">
        <v>26.0934</v>
      </c>
      <c r="F1410" s="12">
        <v>25.6718</v>
      </c>
      <c r="G1410" s="7">
        <v>25.579</v>
      </c>
      <c r="H1410" s="7">
        <v>25.6795</v>
      </c>
      <c r="I1410" s="7">
        <v>25.5115</v>
      </c>
      <c r="J1410" s="7">
        <v>28.3535</v>
      </c>
      <c r="K1410" s="7">
        <v>28.3535</v>
      </c>
      <c r="L1410" s="7">
        <v>28.3535</v>
      </c>
      <c r="M1410" s="7"/>
      <c r="N1410" s="7">
        <v>25.7317</v>
      </c>
      <c r="O1410" s="8">
        <v>20.9874</v>
      </c>
      <c r="P1410" s="7"/>
      <c r="Q1410" s="7">
        <v>30.1615</v>
      </c>
      <c r="R1410" s="7">
        <v>30.1615</v>
      </c>
      <c r="S1410" s="8">
        <v>30.1615</v>
      </c>
    </row>
    <row r="1411" spans="1:19" s="12" customFormat="1" ht="16.5" customHeight="1">
      <c r="A1411" s="3"/>
      <c r="B1411" s="13" t="s">
        <v>113</v>
      </c>
      <c r="C1411" s="7">
        <v>28.2393</v>
      </c>
      <c r="D1411" s="7"/>
      <c r="E1411" s="7">
        <v>27.5258</v>
      </c>
      <c r="F1411" s="12">
        <v>26.9448</v>
      </c>
      <c r="G1411" s="7">
        <v>26.0784</v>
      </c>
      <c r="H1411" s="7">
        <v>27.1096</v>
      </c>
      <c r="I1411" s="7">
        <v>30.4213</v>
      </c>
      <c r="J1411" s="7">
        <v>31.9122</v>
      </c>
      <c r="K1411" s="7">
        <v>31.9122</v>
      </c>
      <c r="L1411" s="7">
        <v>31.9122</v>
      </c>
      <c r="M1411" s="7"/>
      <c r="N1411" s="7">
        <v>29.5985</v>
      </c>
      <c r="O1411" s="8">
        <v>22.4861</v>
      </c>
      <c r="P1411" s="7"/>
      <c r="Q1411" s="7">
        <v>31.5915</v>
      </c>
      <c r="R1411" s="7">
        <v>31.5915</v>
      </c>
      <c r="S1411" s="8">
        <v>31.5915</v>
      </c>
    </row>
    <row r="1412" spans="1:19" s="12" customFormat="1" ht="16.5" customHeight="1">
      <c r="A1412" s="3"/>
      <c r="B1412" s="13" t="s">
        <v>114</v>
      </c>
      <c r="C1412" s="7">
        <v>27.6144</v>
      </c>
      <c r="D1412" s="7"/>
      <c r="E1412" s="7">
        <v>26.9921</v>
      </c>
      <c r="F1412" s="12">
        <v>26.4691</v>
      </c>
      <c r="G1412" s="7">
        <v>25.8752</v>
      </c>
      <c r="H1412" s="7">
        <v>26.5752</v>
      </c>
      <c r="I1412" s="7">
        <v>30.2495</v>
      </c>
      <c r="J1412" s="7">
        <v>32.156</v>
      </c>
      <c r="K1412" s="7">
        <v>32.156</v>
      </c>
      <c r="L1412" s="7">
        <v>32.156</v>
      </c>
      <c r="M1412" s="7"/>
      <c r="N1412" s="7">
        <v>29.7373</v>
      </c>
      <c r="O1412" s="8">
        <v>23.3526</v>
      </c>
      <c r="P1412" s="7"/>
      <c r="Q1412" s="7">
        <v>31.8298</v>
      </c>
      <c r="R1412" s="7">
        <v>31.8298</v>
      </c>
      <c r="S1412" s="8">
        <v>31.8298</v>
      </c>
    </row>
    <row r="1413" spans="1:19" s="12" customFormat="1" ht="16.5" customHeight="1">
      <c r="A1413" s="3"/>
      <c r="B1413" s="4" t="s">
        <v>13</v>
      </c>
      <c r="C1413" s="11">
        <f>(C1408*6+C1409*7+C1410*7+C1411*7+C1412*4)/31</f>
        <v>27.62988064516129</v>
      </c>
      <c r="D1413" s="11"/>
      <c r="E1413" s="11">
        <f aca="true" t="shared" si="211" ref="E1413:S1413">(E1408*6+E1409*7+E1410*7+E1411*7+E1412*4)/31</f>
        <v>26.937312903225806</v>
      </c>
      <c r="F1413" s="11">
        <f t="shared" si="211"/>
        <v>26.424558064516127</v>
      </c>
      <c r="G1413" s="11">
        <f t="shared" si="211"/>
        <v>25.88641612903226</v>
      </c>
      <c r="H1413" s="11">
        <f t="shared" si="211"/>
        <v>26.52515483870968</v>
      </c>
      <c r="I1413" s="11">
        <f t="shared" si="211"/>
        <v>28.23135806451613</v>
      </c>
      <c r="J1413" s="11">
        <f t="shared" si="211"/>
        <v>30.623925806451616</v>
      </c>
      <c r="K1413" s="11">
        <f t="shared" si="211"/>
        <v>30.623925806451616</v>
      </c>
      <c r="L1413" s="11">
        <f t="shared" si="211"/>
        <v>30.623925806451616</v>
      </c>
      <c r="M1413" s="11"/>
      <c r="N1413" s="11">
        <f t="shared" si="211"/>
        <v>28.475758064516135</v>
      </c>
      <c r="O1413" s="38">
        <f t="shared" si="211"/>
        <v>21.674090322580646</v>
      </c>
      <c r="P1413" s="11"/>
      <c r="Q1413" s="11">
        <f t="shared" si="211"/>
        <v>29.990551612903225</v>
      </c>
      <c r="R1413" s="48">
        <f t="shared" si="211"/>
        <v>29.990551612903225</v>
      </c>
      <c r="S1413" s="38">
        <f t="shared" si="211"/>
        <v>29.990551612903225</v>
      </c>
    </row>
    <row r="1414" spans="1:20" s="12" customFormat="1" ht="16.5" customHeight="1">
      <c r="A1414" s="3"/>
      <c r="B1414" s="13" t="s">
        <v>226</v>
      </c>
      <c r="C1414" s="7">
        <v>26.6021</v>
      </c>
      <c r="D1414" s="7"/>
      <c r="E1414" s="7">
        <v>26.05</v>
      </c>
      <c r="F1414" s="12">
        <v>25.7258</v>
      </c>
      <c r="G1414" s="7">
        <v>26.2265</v>
      </c>
      <c r="H1414" s="7">
        <v>25.6364</v>
      </c>
      <c r="I1414" s="7">
        <v>29.0109</v>
      </c>
      <c r="J1414" s="7">
        <v>30.6851</v>
      </c>
      <c r="K1414" s="7">
        <v>30.6851</v>
      </c>
      <c r="L1414" s="7">
        <v>30.6851</v>
      </c>
      <c r="M1414" s="7"/>
      <c r="N1414" s="7">
        <v>27.9098</v>
      </c>
      <c r="O1414" s="8">
        <v>22.7582</v>
      </c>
      <c r="P1414" s="7"/>
      <c r="Q1414" s="7">
        <v>31.8298</v>
      </c>
      <c r="R1414" s="7">
        <v>31.8298</v>
      </c>
      <c r="S1414" s="8">
        <v>31.8298</v>
      </c>
      <c r="T1414" s="7"/>
    </row>
    <row r="1415" spans="1:20" s="12" customFormat="1" ht="16.5" customHeight="1">
      <c r="A1415" s="3"/>
      <c r="B1415" s="13" t="s">
        <v>115</v>
      </c>
      <c r="C1415" s="7">
        <v>26.3406</v>
      </c>
      <c r="D1415" s="7"/>
      <c r="E1415" s="7">
        <v>25.8971</v>
      </c>
      <c r="F1415" s="14">
        <v>25.588</v>
      </c>
      <c r="G1415" s="7">
        <v>26.184</v>
      </c>
      <c r="H1415" s="7">
        <v>25.4816</v>
      </c>
      <c r="I1415" s="7">
        <v>28.1172</v>
      </c>
      <c r="J1415" s="7">
        <v>31.1911</v>
      </c>
      <c r="K1415" s="7">
        <v>31.1911</v>
      </c>
      <c r="L1415" s="7">
        <v>31.1911</v>
      </c>
      <c r="M1415" s="7"/>
      <c r="N1415" s="7">
        <v>28.1811</v>
      </c>
      <c r="O1415" s="8">
        <v>23.4904</v>
      </c>
      <c r="P1415" s="7"/>
      <c r="Q1415" s="7">
        <v>32.6265</v>
      </c>
      <c r="R1415" s="7">
        <v>32.6265</v>
      </c>
      <c r="S1415" s="8">
        <v>32.6265</v>
      </c>
      <c r="T1415" s="7"/>
    </row>
    <row r="1416" spans="1:20" s="12" customFormat="1" ht="16.5" customHeight="1">
      <c r="A1416" s="3"/>
      <c r="B1416" s="13" t="s">
        <v>116</v>
      </c>
      <c r="C1416" s="7">
        <v>26.5015</v>
      </c>
      <c r="D1416" s="7"/>
      <c r="E1416" s="7">
        <v>26.1244</v>
      </c>
      <c r="F1416" s="12">
        <v>25.7884</v>
      </c>
      <c r="G1416" s="7">
        <v>26.2458</v>
      </c>
      <c r="H1416" s="7">
        <v>25.7068</v>
      </c>
      <c r="I1416" s="7">
        <v>28.1366</v>
      </c>
      <c r="J1416" s="7">
        <v>32.0925</v>
      </c>
      <c r="K1416" s="7">
        <v>32.0925</v>
      </c>
      <c r="L1416" s="7">
        <v>32.0925</v>
      </c>
      <c r="M1416" s="7"/>
      <c r="N1416" s="7">
        <v>28.8077</v>
      </c>
      <c r="O1416" s="8">
        <v>24.0787</v>
      </c>
      <c r="P1416" s="7"/>
      <c r="Q1416" s="7">
        <v>32.7593</v>
      </c>
      <c r="R1416" s="7">
        <v>32.7593</v>
      </c>
      <c r="S1416" s="8">
        <v>32.7593</v>
      </c>
      <c r="T1416" s="7"/>
    </row>
    <row r="1417" spans="1:20" s="12" customFormat="1" ht="16.5" customHeight="1">
      <c r="A1417" s="3"/>
      <c r="B1417" s="13" t="s">
        <v>117</v>
      </c>
      <c r="C1417" s="7">
        <v>28.0908</v>
      </c>
      <c r="D1417" s="7"/>
      <c r="E1417" s="7">
        <v>27.4</v>
      </c>
      <c r="F1417" s="12">
        <v>26.9224</v>
      </c>
      <c r="G1417" s="7">
        <v>26.5958</v>
      </c>
      <c r="H1417" s="7">
        <v>26.9807</v>
      </c>
      <c r="I1417" s="7">
        <v>29.9672</v>
      </c>
      <c r="J1417" s="7">
        <v>33.9995</v>
      </c>
      <c r="K1417" s="7">
        <v>33.9995</v>
      </c>
      <c r="L1417" s="7">
        <v>33.9995</v>
      </c>
      <c r="M1417" s="7"/>
      <c r="N1417" s="7">
        <v>30.5658</v>
      </c>
      <c r="O1417" s="8">
        <v>24.4309</v>
      </c>
      <c r="P1417" s="7"/>
      <c r="Q1417" s="7">
        <v>30.7802</v>
      </c>
      <c r="R1417" s="7">
        <v>30.7802</v>
      </c>
      <c r="S1417" s="8">
        <v>30.7802</v>
      </c>
      <c r="T1417" s="7"/>
    </row>
    <row r="1418" spans="1:20" s="12" customFormat="1" ht="16.5" customHeight="1">
      <c r="A1418" s="3"/>
      <c r="B1418" s="13" t="s">
        <v>119</v>
      </c>
      <c r="C1418" s="7">
        <v>28.207</v>
      </c>
      <c r="D1418" s="7"/>
      <c r="E1418" s="7">
        <v>27.3982</v>
      </c>
      <c r="F1418" s="12">
        <v>26.9161</v>
      </c>
      <c r="G1418" s="7">
        <v>26.5939</v>
      </c>
      <c r="H1418" s="7">
        <v>26.9737</v>
      </c>
      <c r="I1418" s="7">
        <v>29.507</v>
      </c>
      <c r="J1418" s="7">
        <v>33.626</v>
      </c>
      <c r="K1418" s="7">
        <v>33.626</v>
      </c>
      <c r="L1418" s="7">
        <v>33.626</v>
      </c>
      <c r="M1418" s="7"/>
      <c r="N1418" s="7">
        <v>30.408</v>
      </c>
      <c r="O1418" s="8">
        <v>23.957</v>
      </c>
      <c r="P1418" s="7"/>
      <c r="Q1418" s="7">
        <v>30.4504</v>
      </c>
      <c r="R1418" s="7">
        <v>30.4504</v>
      </c>
      <c r="S1418" s="8">
        <v>30.4504</v>
      </c>
      <c r="T1418" s="7"/>
    </row>
    <row r="1419" spans="1:19" s="12" customFormat="1" ht="16.5" customHeight="1">
      <c r="A1419" s="3"/>
      <c r="B1419" s="4" t="s">
        <v>13</v>
      </c>
      <c r="C1419" s="11">
        <f>(C1414*3+C1415*7+C1416*7+C1417*7+C1418*6)/30</f>
        <v>27.185953333333334</v>
      </c>
      <c r="D1419" s="11"/>
      <c r="E1419" s="11">
        <f aca="true" t="shared" si="212" ref="E1419:S1419">(E1414*3+E1415*7+E1416*7+E1417*7+E1418*6)/30</f>
        <v>26.616323333333334</v>
      </c>
      <c r="F1419" s="11">
        <f t="shared" si="212"/>
        <v>26.22552</v>
      </c>
      <c r="G1419" s="11">
        <f t="shared" si="212"/>
        <v>26.380736666666667</v>
      </c>
      <c r="H1419" s="11">
        <f t="shared" si="212"/>
        <v>26.197836666666664</v>
      </c>
      <c r="I1419" s="11">
        <f t="shared" si="212"/>
        <v>28.920723333333335</v>
      </c>
      <c r="J1419" s="11">
        <f t="shared" si="212"/>
        <v>32.4931</v>
      </c>
      <c r="K1419" s="11">
        <f t="shared" si="212"/>
        <v>32.4931</v>
      </c>
      <c r="L1419" s="11">
        <f t="shared" si="212"/>
        <v>32.4931</v>
      </c>
      <c r="M1419" s="11"/>
      <c r="N1419" s="11">
        <f t="shared" si="212"/>
        <v>29.301986666666664</v>
      </c>
      <c r="O1419" s="38">
        <f t="shared" si="212"/>
        <v>23.867219999999996</v>
      </c>
      <c r="P1419" s="11"/>
      <c r="Q1419" s="11">
        <f t="shared" si="212"/>
        <v>31.711793333333336</v>
      </c>
      <c r="R1419" s="48">
        <f t="shared" si="212"/>
        <v>31.711793333333336</v>
      </c>
      <c r="S1419" s="38">
        <f t="shared" si="212"/>
        <v>31.711793333333336</v>
      </c>
    </row>
    <row r="1420" spans="1:20" s="12" customFormat="1" ht="16.5" customHeight="1">
      <c r="A1420" s="3"/>
      <c r="B1420" s="13" t="s">
        <v>230</v>
      </c>
      <c r="C1420" s="7">
        <v>29.2056</v>
      </c>
      <c r="D1420" s="7"/>
      <c r="E1420" s="7">
        <v>28.2404</v>
      </c>
      <c r="F1420" s="12">
        <v>27.6621</v>
      </c>
      <c r="G1420" s="7">
        <v>26.8103</v>
      </c>
      <c r="H1420" s="7">
        <v>27.8142</v>
      </c>
      <c r="I1420" s="7">
        <v>31.1955</v>
      </c>
      <c r="J1420" s="7">
        <v>35.003</v>
      </c>
      <c r="K1420" s="7">
        <v>35.003</v>
      </c>
      <c r="L1420" s="7">
        <v>35.003</v>
      </c>
      <c r="M1420" s="7"/>
      <c r="N1420" s="7">
        <v>32</v>
      </c>
      <c r="O1420" s="8">
        <v>24.9907</v>
      </c>
      <c r="P1420" s="7"/>
      <c r="Q1420" s="7">
        <v>30.4504</v>
      </c>
      <c r="R1420" s="7">
        <v>30.4504</v>
      </c>
      <c r="S1420" s="8">
        <v>30.4504</v>
      </c>
      <c r="T1420" s="7"/>
    </row>
    <row r="1421" spans="1:20" s="12" customFormat="1" ht="16.5" customHeight="1">
      <c r="A1421" s="3"/>
      <c r="B1421" s="13" t="s">
        <v>121</v>
      </c>
      <c r="C1421" s="7">
        <v>30.0597</v>
      </c>
      <c r="D1421" s="7"/>
      <c r="E1421" s="7">
        <v>29.0315</v>
      </c>
      <c r="F1421" s="14">
        <v>28.3666</v>
      </c>
      <c r="G1421" s="7">
        <v>27.0277</v>
      </c>
      <c r="H1421" s="7">
        <v>28.6057</v>
      </c>
      <c r="I1421" s="7">
        <v>31.9282</v>
      </c>
      <c r="J1421" s="7">
        <v>35.6756</v>
      </c>
      <c r="K1421" s="7">
        <v>35.6756</v>
      </c>
      <c r="L1421" s="7">
        <v>35.6756</v>
      </c>
      <c r="M1421" s="7"/>
      <c r="N1421" s="7">
        <v>32.5759</v>
      </c>
      <c r="O1421" s="8">
        <v>25.0832</v>
      </c>
      <c r="P1421" s="7"/>
      <c r="Q1421" s="7">
        <v>31.4798</v>
      </c>
      <c r="R1421" s="7">
        <v>31.4798</v>
      </c>
      <c r="S1421" s="8">
        <v>31.4798</v>
      </c>
      <c r="T1421" s="7"/>
    </row>
    <row r="1422" spans="1:20" s="12" customFormat="1" ht="16.5" customHeight="1">
      <c r="A1422" s="3"/>
      <c r="B1422" s="13" t="s">
        <v>123</v>
      </c>
      <c r="C1422" s="7">
        <v>30.5929</v>
      </c>
      <c r="D1422" s="7"/>
      <c r="E1422" s="7">
        <v>29.6353</v>
      </c>
      <c r="F1422" s="12">
        <v>28.9008</v>
      </c>
      <c r="G1422" s="7">
        <v>27.1926</v>
      </c>
      <c r="H1422" s="7">
        <v>29.2058</v>
      </c>
      <c r="I1422" s="7">
        <v>31.6638</v>
      </c>
      <c r="J1422" s="7">
        <v>34.998</v>
      </c>
      <c r="K1422" s="7">
        <v>34.998</v>
      </c>
      <c r="L1422" s="7">
        <v>34.998</v>
      </c>
      <c r="M1422" s="7"/>
      <c r="N1422" s="7">
        <v>31.5806</v>
      </c>
      <c r="O1422" s="8">
        <v>23.0624</v>
      </c>
      <c r="P1422" s="7"/>
      <c r="Q1422" s="7">
        <v>31.6514</v>
      </c>
      <c r="R1422" s="7">
        <v>31.6514</v>
      </c>
      <c r="S1422" s="8">
        <v>31.6514</v>
      </c>
      <c r="T1422" s="7"/>
    </row>
    <row r="1423" spans="1:20" s="12" customFormat="1" ht="16.5" customHeight="1">
      <c r="A1423" s="3"/>
      <c r="B1423" s="13" t="s">
        <v>125</v>
      </c>
      <c r="C1423" s="7">
        <v>32.5078</v>
      </c>
      <c r="D1423" s="7"/>
      <c r="E1423" s="7">
        <v>31.224</v>
      </c>
      <c r="F1423" s="12">
        <v>30.3147</v>
      </c>
      <c r="G1423" s="7">
        <v>27.629</v>
      </c>
      <c r="H1423" s="7">
        <v>30.7943</v>
      </c>
      <c r="I1423" s="7">
        <v>30.2381</v>
      </c>
      <c r="J1423" s="7">
        <v>33.6224</v>
      </c>
      <c r="K1423" s="7">
        <v>33.6224</v>
      </c>
      <c r="L1423" s="7">
        <v>33.6224</v>
      </c>
      <c r="M1423" s="7"/>
      <c r="N1423" s="7">
        <v>30.3287</v>
      </c>
      <c r="O1423" s="8">
        <v>22.3938</v>
      </c>
      <c r="P1423" s="7"/>
      <c r="Q1423" s="7">
        <v>30.5762</v>
      </c>
      <c r="R1423" s="7">
        <v>30.5762</v>
      </c>
      <c r="S1423" s="8">
        <v>30.5762</v>
      </c>
      <c r="T1423" s="7"/>
    </row>
    <row r="1424" spans="1:20" s="12" customFormat="1" ht="16.5" customHeight="1">
      <c r="A1424" s="3"/>
      <c r="B1424" s="13" t="s">
        <v>126</v>
      </c>
      <c r="C1424" s="7">
        <v>32.6668</v>
      </c>
      <c r="D1424" s="7"/>
      <c r="E1424" s="7">
        <v>30.8129</v>
      </c>
      <c r="F1424" s="12">
        <v>29.9528</v>
      </c>
      <c r="G1424" s="7">
        <v>27.5173</v>
      </c>
      <c r="H1424" s="7">
        <v>30.3877</v>
      </c>
      <c r="I1424" s="7">
        <v>30.6657</v>
      </c>
      <c r="J1424" s="7">
        <v>33.0604</v>
      </c>
      <c r="K1424" s="7">
        <v>33.0604</v>
      </c>
      <c r="L1424" s="7">
        <v>33.0604</v>
      </c>
      <c r="M1424" s="7"/>
      <c r="N1424" s="7">
        <v>30.4</v>
      </c>
      <c r="O1424" s="8">
        <v>22.5402</v>
      </c>
      <c r="P1424" s="7"/>
      <c r="Q1424" s="7">
        <v>30.1461</v>
      </c>
      <c r="R1424" s="7">
        <v>30.1461</v>
      </c>
      <c r="S1424" s="8">
        <v>30.1461</v>
      </c>
      <c r="T1424" s="7"/>
    </row>
    <row r="1425" spans="1:20" s="12" customFormat="1" ht="16.5" customHeight="1">
      <c r="A1425" s="3"/>
      <c r="B1425" s="13" t="s">
        <v>127</v>
      </c>
      <c r="C1425" s="7">
        <v>33.5319</v>
      </c>
      <c r="D1425" s="7"/>
      <c r="E1425" s="7">
        <v>31.5967</v>
      </c>
      <c r="F1425" s="12">
        <v>30.6518</v>
      </c>
      <c r="G1425" s="7">
        <v>27.733</v>
      </c>
      <c r="H1425" s="7">
        <v>31.173</v>
      </c>
      <c r="I1425" s="7">
        <v>31.9757</v>
      </c>
      <c r="J1425" s="7">
        <v>34.5981</v>
      </c>
      <c r="K1425" s="7">
        <v>34.5981</v>
      </c>
      <c r="L1425" s="7">
        <v>34.5981</v>
      </c>
      <c r="M1425" s="7"/>
      <c r="N1425" s="7">
        <v>32.0199</v>
      </c>
      <c r="O1425" s="8">
        <v>22.2838</v>
      </c>
      <c r="P1425" s="7"/>
      <c r="Q1425" s="7">
        <v>29.4016</v>
      </c>
      <c r="R1425" s="7">
        <v>29.4016</v>
      </c>
      <c r="S1425" s="8">
        <v>29.4016</v>
      </c>
      <c r="T1425" s="7"/>
    </row>
    <row r="1426" spans="1:19" s="12" customFormat="1" ht="16.5" customHeight="1">
      <c r="A1426" s="3"/>
      <c r="B1426" s="4" t="s">
        <v>13</v>
      </c>
      <c r="C1426" s="11">
        <f>(C1420*1+C1421*7+C1422*7+C1423*7+C1424*7+C1425*2)/31</f>
        <v>31.518058064516133</v>
      </c>
      <c r="D1426" s="11"/>
      <c r="E1426" s="11">
        <f aca="true" t="shared" si="213" ref="E1426:S1426">(E1420*1+E1421*7+E1422*7+E1423*7+E1424*7+E1425*2)/31</f>
        <v>30.205151612903226</v>
      </c>
      <c r="F1426" s="11">
        <f t="shared" si="213"/>
        <v>29.41</v>
      </c>
      <c r="G1426" s="11">
        <f t="shared" si="213"/>
        <v>27.349758064516127</v>
      </c>
      <c r="H1426" s="11">
        <f t="shared" si="213"/>
        <v>29.777893548387095</v>
      </c>
      <c r="I1426" s="11">
        <f t="shared" si="213"/>
        <v>31.181209677419357</v>
      </c>
      <c r="J1426" s="11">
        <f t="shared" si="213"/>
        <v>34.37722580645162</v>
      </c>
      <c r="K1426" s="11">
        <f t="shared" si="213"/>
        <v>34.37722580645162</v>
      </c>
      <c r="L1426" s="11">
        <f t="shared" si="213"/>
        <v>34.37722580645162</v>
      </c>
      <c r="M1426" s="11"/>
      <c r="N1426" s="11">
        <f t="shared" si="213"/>
        <v>31.297941935483873</v>
      </c>
      <c r="O1426" s="38">
        <f t="shared" si="213"/>
        <v>23.26179032258064</v>
      </c>
      <c r="P1426" s="11"/>
      <c r="Q1426" s="11">
        <f t="shared" si="213"/>
        <v>30.84606774193548</v>
      </c>
      <c r="R1426" s="48">
        <f t="shared" si="213"/>
        <v>30.84606774193548</v>
      </c>
      <c r="S1426" s="38">
        <f t="shared" si="213"/>
        <v>30.84606774193548</v>
      </c>
    </row>
    <row r="1427" spans="1:20" s="12" customFormat="1" ht="16.5" customHeight="1">
      <c r="A1427" s="3"/>
      <c r="B1427" s="13" t="s">
        <v>233</v>
      </c>
      <c r="C1427" s="7">
        <v>33.2714</v>
      </c>
      <c r="D1427" s="7"/>
      <c r="E1427" s="7">
        <v>31.9279</v>
      </c>
      <c r="F1427" s="12">
        <v>30.9509</v>
      </c>
      <c r="G1427" s="7">
        <v>27.8668</v>
      </c>
      <c r="H1427" s="7">
        <v>31.5017</v>
      </c>
      <c r="I1427" s="7">
        <v>33.9736</v>
      </c>
      <c r="J1427" s="7">
        <v>36.9386</v>
      </c>
      <c r="K1427" s="7">
        <v>36.9386</v>
      </c>
      <c r="L1427" s="7">
        <v>36.9386</v>
      </c>
      <c r="M1427" s="7"/>
      <c r="N1427" s="7">
        <v>34.4533</v>
      </c>
      <c r="O1427" s="8">
        <v>22.3928</v>
      </c>
      <c r="P1427" s="7"/>
      <c r="Q1427" s="7">
        <v>28.657</v>
      </c>
      <c r="R1427" s="7">
        <v>28.657</v>
      </c>
      <c r="S1427" s="8">
        <v>28.657</v>
      </c>
      <c r="T1427" s="7"/>
    </row>
    <row r="1428" spans="1:20" s="12" customFormat="1" ht="16.5" customHeight="1">
      <c r="A1428" s="3"/>
      <c r="B1428" s="13" t="s">
        <v>128</v>
      </c>
      <c r="C1428" s="7">
        <v>34.0093</v>
      </c>
      <c r="D1428" s="7"/>
      <c r="E1428" s="7">
        <v>32.5982</v>
      </c>
      <c r="F1428" s="14">
        <v>31.5459</v>
      </c>
      <c r="G1428" s="7">
        <v>28.0505</v>
      </c>
      <c r="H1428" s="7">
        <v>32.1701</v>
      </c>
      <c r="I1428" s="7">
        <v>36.2336</v>
      </c>
      <c r="J1428" s="7">
        <v>38.8254</v>
      </c>
      <c r="K1428" s="7">
        <v>38.8254</v>
      </c>
      <c r="L1428" s="7">
        <v>38.8254</v>
      </c>
      <c r="M1428" s="7"/>
      <c r="N1428" s="7">
        <v>36.284</v>
      </c>
      <c r="O1428" s="8">
        <v>21.9389</v>
      </c>
      <c r="P1428" s="7"/>
      <c r="Q1428" s="7">
        <v>28.657</v>
      </c>
      <c r="R1428" s="7">
        <v>28.657</v>
      </c>
      <c r="S1428" s="8">
        <v>28.657</v>
      </c>
      <c r="T1428" s="7"/>
    </row>
    <row r="1429" spans="1:20" s="12" customFormat="1" ht="16.5" customHeight="1">
      <c r="A1429" s="3"/>
      <c r="B1429" s="13" t="s">
        <v>130</v>
      </c>
      <c r="C1429" s="7">
        <v>34.9047</v>
      </c>
      <c r="D1429" s="7"/>
      <c r="E1429" s="7">
        <v>33.3762</v>
      </c>
      <c r="F1429" s="12">
        <v>32.2334</v>
      </c>
      <c r="G1429" s="7">
        <v>28.2627</v>
      </c>
      <c r="H1429" s="7">
        <v>32.9425</v>
      </c>
      <c r="I1429" s="7">
        <v>37.7139</v>
      </c>
      <c r="J1429" s="7">
        <v>40.5855</v>
      </c>
      <c r="K1429" s="7">
        <v>40.5855</v>
      </c>
      <c r="L1429" s="7">
        <v>40.5855</v>
      </c>
      <c r="M1429" s="7"/>
      <c r="N1429" s="7">
        <v>37.7851</v>
      </c>
      <c r="O1429" s="8">
        <v>22.9921</v>
      </c>
      <c r="P1429" s="7"/>
      <c r="Q1429" s="7">
        <v>28.6564</v>
      </c>
      <c r="R1429" s="7">
        <v>28.6564</v>
      </c>
      <c r="S1429" s="8">
        <v>28.6564</v>
      </c>
      <c r="T1429" s="7"/>
    </row>
    <row r="1430" spans="1:20" s="12" customFormat="1" ht="16.5" customHeight="1">
      <c r="A1430" s="3"/>
      <c r="B1430" s="13" t="s">
        <v>131</v>
      </c>
      <c r="C1430" s="7">
        <v>34.8321</v>
      </c>
      <c r="D1430" s="7"/>
      <c r="E1430" s="7">
        <v>33.1147</v>
      </c>
      <c r="F1430" s="12">
        <v>31.9958</v>
      </c>
      <c r="G1430" s="7">
        <v>28.1893</v>
      </c>
      <c r="H1430" s="7">
        <v>32.6756</v>
      </c>
      <c r="I1430" s="7">
        <v>37.8142</v>
      </c>
      <c r="J1430" s="7">
        <v>41.0583</v>
      </c>
      <c r="K1430" s="7">
        <v>41.0583</v>
      </c>
      <c r="L1430" s="7">
        <v>41.0583</v>
      </c>
      <c r="M1430" s="7"/>
      <c r="N1430" s="7">
        <v>38.2207</v>
      </c>
      <c r="O1430" s="8">
        <v>21.7306</v>
      </c>
      <c r="P1430" s="7"/>
      <c r="Q1430" s="7">
        <v>28.6563</v>
      </c>
      <c r="R1430" s="7">
        <v>28.6563</v>
      </c>
      <c r="S1430" s="8">
        <v>28.6563</v>
      </c>
      <c r="T1430" s="7"/>
    </row>
    <row r="1431" spans="1:20" s="12" customFormat="1" ht="16.5" customHeight="1">
      <c r="A1431" s="3"/>
      <c r="B1431" s="13" t="s">
        <v>133</v>
      </c>
      <c r="C1431" s="7">
        <v>34.7081</v>
      </c>
      <c r="D1431" s="7"/>
      <c r="E1431" s="7">
        <v>33.0028</v>
      </c>
      <c r="F1431" s="12">
        <v>31.8969</v>
      </c>
      <c r="G1431" s="7">
        <v>28.1588</v>
      </c>
      <c r="H1431" s="7">
        <v>32.5644</v>
      </c>
      <c r="I1431" s="7">
        <v>36.284</v>
      </c>
      <c r="J1431" s="7">
        <v>39.8361</v>
      </c>
      <c r="K1431" s="7">
        <v>39.8361</v>
      </c>
      <c r="L1431" s="7">
        <v>39.8361</v>
      </c>
      <c r="M1431" s="7"/>
      <c r="N1431" s="7">
        <v>37.078</v>
      </c>
      <c r="O1431" s="8">
        <v>21.7545</v>
      </c>
      <c r="P1431" s="7"/>
      <c r="Q1431" s="7">
        <v>27.7766</v>
      </c>
      <c r="R1431" s="7">
        <v>27.7766</v>
      </c>
      <c r="S1431" s="8">
        <v>27.7766</v>
      </c>
      <c r="T1431" s="7"/>
    </row>
    <row r="1432" spans="1:19" s="12" customFormat="1" ht="16.5" customHeight="1">
      <c r="A1432" s="3"/>
      <c r="B1432" s="4" t="s">
        <v>13</v>
      </c>
      <c r="C1432" s="11">
        <f>(C1427*5+C1428*7+C1429*7+C1430*7+C1431*4)/30</f>
        <v>34.380403333333334</v>
      </c>
      <c r="D1432" s="11"/>
      <c r="E1432" s="11">
        <f aca="true" t="shared" si="214" ref="E1432:S1432">(E1427*5+E1428*7+E1429*7+E1430*7+E1431*4)/30</f>
        <v>32.84248</v>
      </c>
      <c r="F1432" s="11">
        <f t="shared" si="214"/>
        <v>31.758926666666664</v>
      </c>
      <c r="G1432" s="11">
        <f t="shared" si="214"/>
        <v>28.11622333333333</v>
      </c>
      <c r="H1432" s="11">
        <f t="shared" si="214"/>
        <v>32.40945000000001</v>
      </c>
      <c r="I1432" s="11">
        <f t="shared" si="214"/>
        <v>36.57786333333333</v>
      </c>
      <c r="J1432" s="11">
        <f t="shared" si="214"/>
        <v>39.57739333333334</v>
      </c>
      <c r="K1432" s="11">
        <f t="shared" si="214"/>
        <v>39.57739333333334</v>
      </c>
      <c r="L1432" s="11">
        <f t="shared" si="214"/>
        <v>39.57739333333334</v>
      </c>
      <c r="M1432" s="11"/>
      <c r="N1432" s="11">
        <f t="shared" si="214"/>
        <v>36.88690333333333</v>
      </c>
      <c r="O1432" s="38">
        <f t="shared" si="214"/>
        <v>22.18710666666667</v>
      </c>
      <c r="P1432" s="11"/>
      <c r="Q1432" s="11">
        <f t="shared" si="214"/>
        <v>28.539310000000004</v>
      </c>
      <c r="R1432" s="48">
        <f>(R1427*5+R1428*7+R1429*7+R1430*7+R1431*4)/30</f>
        <v>28.539310000000004</v>
      </c>
      <c r="S1432" s="38">
        <f t="shared" si="214"/>
        <v>28.539310000000004</v>
      </c>
    </row>
    <row r="1433" spans="1:20" s="12" customFormat="1" ht="16.5" customHeight="1">
      <c r="A1433" s="3"/>
      <c r="B1433" s="13" t="s">
        <v>238</v>
      </c>
      <c r="C1433" s="7">
        <v>33.6184</v>
      </c>
      <c r="D1433" s="7"/>
      <c r="E1433" s="7">
        <v>32.162</v>
      </c>
      <c r="F1433" s="12">
        <v>31.2689</v>
      </c>
      <c r="G1433" s="7">
        <v>28.7255</v>
      </c>
      <c r="H1433" s="7">
        <v>31.7231</v>
      </c>
      <c r="I1433" s="7">
        <v>34.2208</v>
      </c>
      <c r="J1433" s="7">
        <v>37.5089</v>
      </c>
      <c r="K1433" s="7">
        <v>37.5089</v>
      </c>
      <c r="L1433" s="7">
        <v>37.5089</v>
      </c>
      <c r="M1433" s="7"/>
      <c r="N1433" s="7">
        <v>34.6527</v>
      </c>
      <c r="O1433" s="8">
        <v>21.1605</v>
      </c>
      <c r="P1433" s="7"/>
      <c r="Q1433" s="7">
        <v>27.4833</v>
      </c>
      <c r="R1433" s="7">
        <v>27.4833</v>
      </c>
      <c r="S1433" s="8">
        <v>27.4833</v>
      </c>
      <c r="T1433" s="7"/>
    </row>
    <row r="1434" spans="1:20" s="12" customFormat="1" ht="16.5" customHeight="1">
      <c r="A1434" s="3"/>
      <c r="B1434" s="13" t="s">
        <v>346</v>
      </c>
      <c r="C1434" s="7">
        <v>31.0644</v>
      </c>
      <c r="D1434" s="7"/>
      <c r="E1434" s="7">
        <v>29.5756</v>
      </c>
      <c r="F1434" s="14">
        <v>28.9609</v>
      </c>
      <c r="G1434" s="7">
        <v>28.0131</v>
      </c>
      <c r="H1434" s="7">
        <v>29.1301</v>
      </c>
      <c r="I1434" s="7">
        <v>31.9561</v>
      </c>
      <c r="J1434" s="7">
        <v>35.209</v>
      </c>
      <c r="K1434" s="7">
        <v>35.209</v>
      </c>
      <c r="L1434" s="7">
        <v>35.209</v>
      </c>
      <c r="M1434" s="7"/>
      <c r="N1434" s="7">
        <v>32.6581</v>
      </c>
      <c r="O1434" s="8">
        <v>19.2702</v>
      </c>
      <c r="P1434" s="7"/>
      <c r="Q1434" s="7">
        <v>27.4833</v>
      </c>
      <c r="R1434" s="7">
        <v>27.4833</v>
      </c>
      <c r="S1434" s="8">
        <v>27.4833</v>
      </c>
      <c r="T1434" s="7"/>
    </row>
    <row r="1435" spans="1:20" s="12" customFormat="1" ht="16.5" customHeight="1">
      <c r="A1435" s="3"/>
      <c r="B1435" s="13" t="s">
        <v>135</v>
      </c>
      <c r="C1435" s="7">
        <v>27.4996</v>
      </c>
      <c r="D1435" s="7"/>
      <c r="E1435" s="7">
        <v>26.8568</v>
      </c>
      <c r="F1435" s="12">
        <v>26.5368</v>
      </c>
      <c r="G1435" s="7">
        <v>27.2649</v>
      </c>
      <c r="H1435" s="7">
        <v>26.4068</v>
      </c>
      <c r="I1435" s="7">
        <v>31.0935</v>
      </c>
      <c r="J1435" s="7">
        <v>33.7072</v>
      </c>
      <c r="K1435" s="7">
        <v>33.7072</v>
      </c>
      <c r="L1435" s="7">
        <v>33.7072</v>
      </c>
      <c r="M1435" s="7"/>
      <c r="N1435" s="7">
        <v>31.2424</v>
      </c>
      <c r="O1435" s="8">
        <v>17.7701</v>
      </c>
      <c r="P1435" s="7"/>
      <c r="Q1435" s="7">
        <v>27.8943</v>
      </c>
      <c r="R1435" s="7">
        <v>27.8943</v>
      </c>
      <c r="S1435" s="8">
        <v>27.8943</v>
      </c>
      <c r="T1435" s="7"/>
    </row>
    <row r="1436" spans="1:20" s="12" customFormat="1" ht="16.5" customHeight="1">
      <c r="A1436" s="3"/>
      <c r="B1436" s="13" t="s">
        <v>136</v>
      </c>
      <c r="C1436" s="7">
        <v>26.5133</v>
      </c>
      <c r="D1436" s="7"/>
      <c r="E1436" s="7">
        <v>26.2847</v>
      </c>
      <c r="F1436" s="12">
        <v>26.0228</v>
      </c>
      <c r="G1436" s="7">
        <v>27.1063</v>
      </c>
      <c r="H1436" s="7">
        <v>25.8293</v>
      </c>
      <c r="I1436" s="7">
        <v>30.8255</v>
      </c>
      <c r="J1436" s="7">
        <v>32.7608</v>
      </c>
      <c r="K1436" s="7">
        <v>32.7608</v>
      </c>
      <c r="L1436" s="7">
        <v>32.7608</v>
      </c>
      <c r="M1436" s="7"/>
      <c r="N1436" s="7">
        <v>30.3049</v>
      </c>
      <c r="O1436" s="8">
        <v>18.1021</v>
      </c>
      <c r="P1436" s="7"/>
      <c r="Q1436" s="7">
        <v>27.9628</v>
      </c>
      <c r="R1436" s="7">
        <v>27.9628</v>
      </c>
      <c r="S1436" s="8">
        <v>27.9628</v>
      </c>
      <c r="T1436" s="7"/>
    </row>
    <row r="1437" spans="1:20" s="12" customFormat="1" ht="16.5" customHeight="1">
      <c r="A1437" s="3"/>
      <c r="B1437" s="13" t="s">
        <v>137</v>
      </c>
      <c r="C1437" s="7">
        <v>27.0969</v>
      </c>
      <c r="D1437" s="7"/>
      <c r="E1437" s="7">
        <v>26.7281</v>
      </c>
      <c r="F1437" s="12">
        <v>26.4166</v>
      </c>
      <c r="G1437" s="7">
        <v>27.2278</v>
      </c>
      <c r="H1437" s="7">
        <v>26.2717</v>
      </c>
      <c r="I1437" s="7">
        <v>30.7024</v>
      </c>
      <c r="J1437" s="7">
        <v>32.5777</v>
      </c>
      <c r="K1437" s="7">
        <v>32.5777</v>
      </c>
      <c r="L1437" s="7">
        <v>32.5777</v>
      </c>
      <c r="M1437" s="7"/>
      <c r="N1437" s="7">
        <v>30.2152</v>
      </c>
      <c r="O1437" s="8">
        <v>18.4046</v>
      </c>
      <c r="P1437" s="7"/>
      <c r="Q1437" s="7">
        <v>27.2157</v>
      </c>
      <c r="R1437" s="7">
        <v>27.2157</v>
      </c>
      <c r="S1437" s="8">
        <v>27.2157</v>
      </c>
      <c r="T1437" s="7"/>
    </row>
    <row r="1438" spans="1:19" s="12" customFormat="1" ht="16.5" customHeight="1">
      <c r="A1438" s="3"/>
      <c r="B1438" s="4" t="s">
        <v>13</v>
      </c>
      <c r="C1438" s="11">
        <f>(C1433*3+C1434*7+C1435*7+C1436*7+C1437*7)/31</f>
        <v>28.583051612903226</v>
      </c>
      <c r="D1438" s="11"/>
      <c r="E1438" s="11">
        <f aca="true" t="shared" si="215" ref="E1438:S1438">(E1433*3+E1434*7+E1435*7+E1436*7+E1437*7)/31</f>
        <v>27.82588387096774</v>
      </c>
      <c r="F1438" s="11">
        <f t="shared" si="215"/>
        <v>27.39891612903226</v>
      </c>
      <c r="G1438" s="11">
        <f t="shared" si="215"/>
        <v>27.531006451612903</v>
      </c>
      <c r="H1438" s="11">
        <f t="shared" si="215"/>
        <v>27.375309677419356</v>
      </c>
      <c r="I1438" s="11">
        <f t="shared" si="215"/>
        <v>31.442093548387096</v>
      </c>
      <c r="J1438" s="11">
        <f t="shared" si="215"/>
        <v>33.94547096774194</v>
      </c>
      <c r="K1438" s="11">
        <f t="shared" si="215"/>
        <v>33.94547096774194</v>
      </c>
      <c r="L1438" s="11">
        <f t="shared" si="215"/>
        <v>33.94547096774194</v>
      </c>
      <c r="M1438" s="11"/>
      <c r="N1438" s="11">
        <f t="shared" si="215"/>
        <v>31.44846129032258</v>
      </c>
      <c r="O1438" s="38">
        <f t="shared" si="215"/>
        <v>18.65517741935484</v>
      </c>
      <c r="P1438" s="11"/>
      <c r="Q1438" s="11">
        <f>(Q1433*3+Q1434*7+Q1435*7+Q1436*7+Q1437*7)/31</f>
        <v>27.62395483870968</v>
      </c>
      <c r="R1438" s="48">
        <f t="shared" si="215"/>
        <v>27.62395483870968</v>
      </c>
      <c r="S1438" s="38">
        <f t="shared" si="215"/>
        <v>27.62395483870968</v>
      </c>
    </row>
    <row r="1439" spans="1:20" s="12" customFormat="1" ht="16.5" customHeight="1">
      <c r="A1439" s="3"/>
      <c r="B1439" s="13" t="s">
        <v>244</v>
      </c>
      <c r="C1439" s="7">
        <v>26.1671</v>
      </c>
      <c r="D1439" s="7"/>
      <c r="E1439" s="7">
        <v>25.8689</v>
      </c>
      <c r="F1439" s="12">
        <v>25.7352</v>
      </c>
      <c r="G1439" s="7">
        <v>27.5015</v>
      </c>
      <c r="H1439" s="7">
        <v>25.4198</v>
      </c>
      <c r="I1439" s="7">
        <v>29.2756</v>
      </c>
      <c r="J1439" s="7">
        <v>31.2878</v>
      </c>
      <c r="K1439" s="7">
        <v>31.2878</v>
      </c>
      <c r="L1439" s="7">
        <v>31.2878</v>
      </c>
      <c r="M1439" s="7"/>
      <c r="N1439" s="7">
        <v>29.1822</v>
      </c>
      <c r="O1439" s="8">
        <v>18.3654</v>
      </c>
      <c r="P1439" s="7"/>
      <c r="Q1439" s="7">
        <v>27.0912</v>
      </c>
      <c r="R1439" s="7">
        <v>27.0912</v>
      </c>
      <c r="S1439" s="8">
        <v>27.0912</v>
      </c>
      <c r="T1439" s="7"/>
    </row>
    <row r="1440" spans="1:20" s="12" customFormat="1" ht="16.5" customHeight="1">
      <c r="A1440" s="3"/>
      <c r="B1440" s="13" t="s">
        <v>139</v>
      </c>
      <c r="C1440" s="7">
        <v>24.5753</v>
      </c>
      <c r="D1440" s="7"/>
      <c r="E1440" s="7">
        <v>24.5718</v>
      </c>
      <c r="F1440" s="14">
        <v>24.5885</v>
      </c>
      <c r="G1440" s="7">
        <v>27.1476</v>
      </c>
      <c r="H1440" s="7">
        <v>24.1315</v>
      </c>
      <c r="I1440" s="7">
        <v>27.7043</v>
      </c>
      <c r="J1440" s="7">
        <v>29.3993</v>
      </c>
      <c r="K1440" s="7">
        <v>29.3993</v>
      </c>
      <c r="L1440" s="7">
        <v>29.3993</v>
      </c>
      <c r="M1440" s="7"/>
      <c r="N1440" s="7">
        <v>27.598</v>
      </c>
      <c r="O1440" s="8">
        <v>17.8736</v>
      </c>
      <c r="P1440" s="7"/>
      <c r="Q1440" s="7">
        <v>26.4622</v>
      </c>
      <c r="R1440" s="7">
        <v>26.4622</v>
      </c>
      <c r="S1440" s="8">
        <v>26.4622</v>
      </c>
      <c r="T1440" s="7"/>
    </row>
    <row r="1441" spans="1:20" s="12" customFormat="1" ht="16.5" customHeight="1">
      <c r="A1441" s="3"/>
      <c r="B1441" s="13" t="s">
        <v>140</v>
      </c>
      <c r="C1441" s="7">
        <v>25.2485</v>
      </c>
      <c r="D1441" s="7"/>
      <c r="E1441" s="7">
        <v>25.1305</v>
      </c>
      <c r="F1441" s="12">
        <v>25.0856</v>
      </c>
      <c r="G1441" s="7">
        <v>27.301</v>
      </c>
      <c r="H1441" s="7">
        <v>24.69</v>
      </c>
      <c r="I1441" s="7">
        <v>29.2885</v>
      </c>
      <c r="J1441" s="7">
        <v>30.692</v>
      </c>
      <c r="K1441" s="7">
        <v>30.692</v>
      </c>
      <c r="L1441" s="7">
        <v>30.692</v>
      </c>
      <c r="M1441" s="7"/>
      <c r="N1441" s="7">
        <v>29.1759</v>
      </c>
      <c r="O1441" s="8">
        <v>17.7501</v>
      </c>
      <c r="P1441" s="7"/>
      <c r="Q1441" s="7">
        <v>26.3574</v>
      </c>
      <c r="R1441" s="7">
        <v>26.3574</v>
      </c>
      <c r="S1441" s="8">
        <v>26.3574</v>
      </c>
      <c r="T1441" s="7"/>
    </row>
    <row r="1442" spans="1:20" s="12" customFormat="1" ht="16.5" customHeight="1">
      <c r="A1442" s="3"/>
      <c r="B1442" s="13" t="s">
        <v>141</v>
      </c>
      <c r="C1442" s="7">
        <v>26.0705</v>
      </c>
      <c r="D1442" s="7"/>
      <c r="E1442" s="7">
        <v>25.9402</v>
      </c>
      <c r="F1442" s="12">
        <v>25.8012</v>
      </c>
      <c r="G1442" s="7">
        <v>27.5219</v>
      </c>
      <c r="H1442" s="7">
        <v>25.494</v>
      </c>
      <c r="I1442" s="7">
        <v>32.5049</v>
      </c>
      <c r="J1442" s="7">
        <v>33.8802</v>
      </c>
      <c r="K1442" s="7">
        <v>33.8802</v>
      </c>
      <c r="L1442" s="7">
        <v>33.8802</v>
      </c>
      <c r="M1442" s="7"/>
      <c r="N1442" s="7">
        <v>32.477</v>
      </c>
      <c r="O1442" s="8">
        <v>17.8833</v>
      </c>
      <c r="P1442" s="7"/>
      <c r="Q1442" s="7">
        <v>24.6419</v>
      </c>
      <c r="R1442" s="7">
        <v>24.6419</v>
      </c>
      <c r="S1442" s="8">
        <v>24.6419</v>
      </c>
      <c r="T1442" s="7"/>
    </row>
    <row r="1443" spans="1:20" s="12" customFormat="1" ht="16.5" customHeight="1">
      <c r="A1443" s="3"/>
      <c r="B1443" s="13" t="s">
        <v>142</v>
      </c>
      <c r="C1443" s="7">
        <v>25.7995</v>
      </c>
      <c r="D1443" s="7"/>
      <c r="E1443" s="7">
        <v>25.8728</v>
      </c>
      <c r="F1443" s="12">
        <v>25.7381</v>
      </c>
      <c r="G1443" s="7">
        <v>27.5024</v>
      </c>
      <c r="H1443" s="7">
        <v>25.423</v>
      </c>
      <c r="I1443" s="7">
        <v>33.7821</v>
      </c>
      <c r="J1443" s="7">
        <v>34.9957</v>
      </c>
      <c r="K1443" s="7">
        <v>34.9957</v>
      </c>
      <c r="L1443" s="7">
        <v>34.9957</v>
      </c>
      <c r="M1443" s="7"/>
      <c r="N1443" s="7">
        <v>33.6141</v>
      </c>
      <c r="O1443" s="8">
        <v>18.1804</v>
      </c>
      <c r="P1443" s="7"/>
      <c r="Q1443" s="7">
        <v>24.356</v>
      </c>
      <c r="R1443" s="7">
        <v>24.356</v>
      </c>
      <c r="S1443" s="8">
        <v>24.356</v>
      </c>
      <c r="T1443" s="7"/>
    </row>
    <row r="1444" spans="1:19" s="12" customFormat="1" ht="16.5" customHeight="1">
      <c r="A1444" s="3"/>
      <c r="B1444" s="4" t="s">
        <v>13</v>
      </c>
      <c r="C1444" s="11">
        <f>(C1439*7+C1440*7+C1441*7+C1442*7+C1443*3)/31</f>
        <v>25.54284838709677</v>
      </c>
      <c r="D1444" s="11"/>
      <c r="E1444" s="11">
        <f aca="true" t="shared" si="216" ref="E1444:S1444">(E1439*7+E1440*7+E1441*7+E1442*7+E1443*3)/31</f>
        <v>25.425748387096775</v>
      </c>
      <c r="F1444" s="11">
        <f t="shared" si="216"/>
        <v>25.344767741935485</v>
      </c>
      <c r="G1444" s="11">
        <f t="shared" si="216"/>
        <v>27.381006451612908</v>
      </c>
      <c r="H1444" s="11">
        <f t="shared" si="216"/>
        <v>24.981164516129034</v>
      </c>
      <c r="I1444" s="11">
        <f t="shared" si="216"/>
        <v>30.089012903225807</v>
      </c>
      <c r="J1444" s="11">
        <f t="shared" si="216"/>
        <v>31.671038709677422</v>
      </c>
      <c r="K1444" s="11">
        <f t="shared" si="216"/>
        <v>31.671038709677422</v>
      </c>
      <c r="L1444" s="11">
        <f t="shared" si="216"/>
        <v>31.671038709677422</v>
      </c>
      <c r="M1444" s="11"/>
      <c r="N1444" s="11">
        <f t="shared" si="216"/>
        <v>29.99593548387097</v>
      </c>
      <c r="O1444" s="38">
        <f t="shared" si="216"/>
        <v>17.988645161290325</v>
      </c>
      <c r="P1444" s="11"/>
      <c r="Q1444" s="11">
        <f t="shared" si="216"/>
        <v>25.9657064516129</v>
      </c>
      <c r="R1444" s="48">
        <f t="shared" si="216"/>
        <v>25.9657064516129</v>
      </c>
      <c r="S1444" s="38">
        <f t="shared" si="216"/>
        <v>25.9657064516129</v>
      </c>
    </row>
    <row r="1445" spans="1:20" s="12" customFormat="1" ht="16.5" customHeight="1">
      <c r="A1445" s="3"/>
      <c r="B1445" s="13" t="s">
        <v>27</v>
      </c>
      <c r="C1445" s="7">
        <v>23.490575</v>
      </c>
      <c r="D1445" s="7"/>
      <c r="E1445" s="7">
        <v>23.727533</v>
      </c>
      <c r="F1445" s="14">
        <v>23.823984</v>
      </c>
      <c r="G1445" s="7">
        <v>26.9116</v>
      </c>
      <c r="H1445" s="7">
        <v>23.272624</v>
      </c>
      <c r="I1445" s="7">
        <v>31.419402725289963</v>
      </c>
      <c r="J1445" s="7">
        <v>32.95638625</v>
      </c>
      <c r="K1445" s="7">
        <v>32.95638625</v>
      </c>
      <c r="L1445" s="7">
        <v>32.95638625</v>
      </c>
      <c r="M1445" s="7"/>
      <c r="N1445" s="7">
        <v>31.3812</v>
      </c>
      <c r="O1445" s="8">
        <v>16.688775</v>
      </c>
      <c r="P1445" s="7"/>
      <c r="Q1445" s="7">
        <v>24.356</v>
      </c>
      <c r="R1445" s="7">
        <v>24.356</v>
      </c>
      <c r="S1445" s="8">
        <v>24.356</v>
      </c>
      <c r="T1445" s="7"/>
    </row>
    <row r="1446" spans="1:20" s="12" customFormat="1" ht="16.5" customHeight="1">
      <c r="A1446" s="3"/>
      <c r="B1446" s="13" t="s">
        <v>347</v>
      </c>
      <c r="C1446" s="7">
        <v>24.010928571428572</v>
      </c>
      <c r="D1446" s="7"/>
      <c r="E1446" s="7">
        <v>23.890254</v>
      </c>
      <c r="F1446" s="14">
        <v>23.969911285714286</v>
      </c>
      <c r="G1446" s="7">
        <v>26.956639285714285</v>
      </c>
      <c r="H1446" s="7">
        <v>23.436567</v>
      </c>
      <c r="I1446" s="7">
        <v>30.707688215588632</v>
      </c>
      <c r="J1446" s="7">
        <v>32.352405</v>
      </c>
      <c r="K1446" s="7">
        <v>32.352405</v>
      </c>
      <c r="L1446" s="7">
        <v>32.352405</v>
      </c>
      <c r="M1446" s="7"/>
      <c r="N1446" s="7">
        <v>30.584242857142858</v>
      </c>
      <c r="O1446" s="8">
        <v>16.121685714285714</v>
      </c>
      <c r="P1446" s="7"/>
      <c r="Q1446" s="7">
        <v>25.317714285714292</v>
      </c>
      <c r="R1446" s="7">
        <v>25.317714285714292</v>
      </c>
      <c r="S1446" s="8">
        <v>25.317714285714292</v>
      </c>
      <c r="T1446" s="7"/>
    </row>
    <row r="1447" spans="1:20" s="12" customFormat="1" ht="16.5" customHeight="1">
      <c r="A1447" s="3"/>
      <c r="B1447" s="13" t="s">
        <v>348</v>
      </c>
      <c r="C1447" s="7">
        <v>23.897628571428573</v>
      </c>
      <c r="D1447" s="7"/>
      <c r="E1447" s="7">
        <v>23.893244000000003</v>
      </c>
      <c r="F1447" s="14">
        <v>23.972237142857143</v>
      </c>
      <c r="G1447" s="7">
        <v>26.957357142857145</v>
      </c>
      <c r="H1447" s="7">
        <v>23.43918</v>
      </c>
      <c r="I1447" s="7">
        <v>28.431934751592248</v>
      </c>
      <c r="J1447" s="7">
        <v>30.286767142857144</v>
      </c>
      <c r="K1447" s="7">
        <v>30.286767142857144</v>
      </c>
      <c r="L1447" s="7">
        <v>30.286767142857144</v>
      </c>
      <c r="M1447" s="7"/>
      <c r="N1447" s="7">
        <v>28.557414285714284</v>
      </c>
      <c r="O1447" s="8">
        <v>15.511399999999998</v>
      </c>
      <c r="P1447" s="7"/>
      <c r="Q1447" s="7">
        <v>25.478000000000005</v>
      </c>
      <c r="R1447" s="7">
        <v>25.478000000000005</v>
      </c>
      <c r="S1447" s="8">
        <v>25.478000000000005</v>
      </c>
      <c r="T1447" s="7"/>
    </row>
    <row r="1448" spans="1:20" s="12" customFormat="1" ht="16.5" customHeight="1">
      <c r="A1448" s="3"/>
      <c r="B1448" s="13" t="s">
        <v>349</v>
      </c>
      <c r="C1448" s="7">
        <v>22.674171428571434</v>
      </c>
      <c r="D1448" s="7"/>
      <c r="E1448" s="7">
        <v>22.91255</v>
      </c>
      <c r="F1448" s="14">
        <v>23.093178857142856</v>
      </c>
      <c r="G1448" s="7">
        <v>26.686042857142862</v>
      </c>
      <c r="H1448" s="7">
        <v>22.451596</v>
      </c>
      <c r="I1448" s="7">
        <v>27.333153895064015</v>
      </c>
      <c r="J1448" s="7">
        <v>29.09844285714286</v>
      </c>
      <c r="K1448" s="7">
        <v>29.09844285714286</v>
      </c>
      <c r="L1448" s="7">
        <v>29.09844285714286</v>
      </c>
      <c r="M1448" s="7"/>
      <c r="N1448" s="7">
        <v>27.870085714285715</v>
      </c>
      <c r="O1448" s="8">
        <v>15.69017142857143</v>
      </c>
      <c r="P1448" s="7"/>
      <c r="Q1448" s="7">
        <v>25.282828571428574</v>
      </c>
      <c r="R1448" s="7">
        <v>25.282828571428574</v>
      </c>
      <c r="S1448" s="8">
        <v>25.282828571428574</v>
      </c>
      <c r="T1448" s="7"/>
    </row>
    <row r="1449" spans="1:20" s="12" customFormat="1" ht="16.5" customHeight="1">
      <c r="A1449" s="3"/>
      <c r="B1449" s="13" t="s">
        <v>350</v>
      </c>
      <c r="C1449" s="7">
        <v>22.134780000000003</v>
      </c>
      <c r="D1449" s="7"/>
      <c r="E1449" s="7">
        <v>22.484509399999997</v>
      </c>
      <c r="F1449" s="14">
        <v>22.704483000000003</v>
      </c>
      <c r="G1449" s="7">
        <v>26.566075</v>
      </c>
      <c r="H1449" s="7">
        <v>22.014913</v>
      </c>
      <c r="I1449" s="7">
        <v>26.882413710687864</v>
      </c>
      <c r="J1449" s="7">
        <v>28.950668999999998</v>
      </c>
      <c r="K1449" s="7">
        <v>28.950668999999998</v>
      </c>
      <c r="L1449" s="7">
        <v>28.950668999999998</v>
      </c>
      <c r="M1449" s="7"/>
      <c r="N1449" s="7">
        <v>27.98086</v>
      </c>
      <c r="O1449" s="8">
        <v>15.124680000000001</v>
      </c>
      <c r="P1449" s="7"/>
      <c r="Q1449" s="7">
        <v>25.2503</v>
      </c>
      <c r="R1449" s="7">
        <v>25.2503</v>
      </c>
      <c r="S1449" s="8">
        <v>25.2503</v>
      </c>
      <c r="T1449" s="7"/>
    </row>
    <row r="1450" spans="1:19" s="12" customFormat="1" ht="16.5" customHeight="1">
      <c r="A1450" s="3"/>
      <c r="B1450" s="4" t="s">
        <v>13</v>
      </c>
      <c r="C1450" s="11">
        <f>(C1445*4+C1446*7+C1447*7+C1448*7+C1449*5)/30</f>
        <v>23.29051</v>
      </c>
      <c r="D1450" s="11"/>
      <c r="E1450" s="11">
        <f aca="true" t="shared" si="217" ref="E1450:S1450">(E1445*4+E1446*7+E1447*7+E1448*7+E1449*5)/30</f>
        <v>23.406833833333334</v>
      </c>
      <c r="F1450" s="11">
        <f t="shared" si="217"/>
        <v>23.5355214</v>
      </c>
      <c r="G1450" s="11">
        <f t="shared" si="217"/>
        <v>26.822568333333333</v>
      </c>
      <c r="H1450" s="11">
        <f t="shared" si="217"/>
        <v>22.948548733333332</v>
      </c>
      <c r="I1450" s="11">
        <f t="shared" si="217"/>
        <v>28.846637249677112</v>
      </c>
      <c r="J1450" s="11">
        <f t="shared" si="217"/>
        <v>30.624739833333333</v>
      </c>
      <c r="K1450" s="11">
        <f t="shared" si="217"/>
        <v>30.624739833333333</v>
      </c>
      <c r="L1450" s="11">
        <f t="shared" si="217"/>
        <v>30.624739833333333</v>
      </c>
      <c r="M1450" s="11"/>
      <c r="N1450" s="11">
        <f t="shared" si="217"/>
        <v>29.150376666666666</v>
      </c>
      <c r="O1450" s="38">
        <f t="shared" si="217"/>
        <v>15.788043333333333</v>
      </c>
      <c r="P1450" s="11"/>
      <c r="Q1450" s="11">
        <f t="shared" si="217"/>
        <v>25.20751</v>
      </c>
      <c r="R1450" s="48">
        <f t="shared" si="217"/>
        <v>25.20751</v>
      </c>
      <c r="S1450" s="38">
        <f t="shared" si="217"/>
        <v>25.20751</v>
      </c>
    </row>
    <row r="1451" spans="1:20" s="12" customFormat="1" ht="16.5" customHeight="1">
      <c r="A1451" s="3"/>
      <c r="B1451" s="13" t="s">
        <v>253</v>
      </c>
      <c r="C1451" s="7">
        <v>22.7339</v>
      </c>
      <c r="D1451" s="7"/>
      <c r="E1451" s="7">
        <v>23.1213</v>
      </c>
      <c r="F1451" s="14">
        <v>23.3739</v>
      </c>
      <c r="G1451" s="7">
        <v>27.4295</v>
      </c>
      <c r="H1451" s="7">
        <v>22.6497</v>
      </c>
      <c r="I1451" s="7">
        <v>27.5928</v>
      </c>
      <c r="J1451" s="7">
        <v>29.5694</v>
      </c>
      <c r="K1451" s="7">
        <v>29.5694</v>
      </c>
      <c r="L1451" s="7">
        <v>29.5694</v>
      </c>
      <c r="M1451" s="7"/>
      <c r="N1451" s="7">
        <v>28.7132</v>
      </c>
      <c r="O1451" s="8">
        <v>15.0943</v>
      </c>
      <c r="P1451" s="7"/>
      <c r="Q1451" s="7">
        <v>25.2503</v>
      </c>
      <c r="R1451" s="7">
        <v>25.2503</v>
      </c>
      <c r="S1451" s="8">
        <v>25.2503</v>
      </c>
      <c r="T1451" s="7"/>
    </row>
    <row r="1452" spans="1:20" s="12" customFormat="1" ht="16.5" customHeight="1">
      <c r="A1452" s="3"/>
      <c r="B1452" s="13" t="s">
        <v>351</v>
      </c>
      <c r="C1452" s="7">
        <v>22.6293</v>
      </c>
      <c r="D1452" s="7"/>
      <c r="E1452" s="7">
        <v>23.085</v>
      </c>
      <c r="F1452" s="14">
        <v>23.3463</v>
      </c>
      <c r="G1452" s="7">
        <v>27.421</v>
      </c>
      <c r="H1452" s="7">
        <v>22.6187</v>
      </c>
      <c r="I1452" s="7">
        <v>28.3734</v>
      </c>
      <c r="J1452" s="7">
        <v>31.2795</v>
      </c>
      <c r="K1452" s="7">
        <v>31.2795</v>
      </c>
      <c r="L1452" s="7">
        <v>31.2795</v>
      </c>
      <c r="M1452" s="7"/>
      <c r="N1452" s="7">
        <v>30.5425</v>
      </c>
      <c r="O1452" s="8">
        <v>15.0646</v>
      </c>
      <c r="P1452" s="7"/>
      <c r="Q1452" s="7">
        <v>24.614</v>
      </c>
      <c r="R1452" s="7">
        <v>24.614</v>
      </c>
      <c r="S1452" s="8">
        <v>24.614</v>
      </c>
      <c r="T1452" s="7"/>
    </row>
    <row r="1453" spans="1:20" s="12" customFormat="1" ht="16.5" customHeight="1">
      <c r="A1453" s="3"/>
      <c r="B1453" s="13" t="s">
        <v>352</v>
      </c>
      <c r="C1453" s="7">
        <v>23.3391</v>
      </c>
      <c r="D1453" s="7"/>
      <c r="E1453" s="7">
        <v>23.6574</v>
      </c>
      <c r="F1453" s="14">
        <v>23.8513</v>
      </c>
      <c r="G1453" s="7">
        <v>27.5768</v>
      </c>
      <c r="H1453" s="7">
        <v>23.1861</v>
      </c>
      <c r="I1453" s="7">
        <v>30.6264</v>
      </c>
      <c r="J1453" s="7">
        <v>33.5229</v>
      </c>
      <c r="K1453" s="7">
        <v>33.5229</v>
      </c>
      <c r="L1453" s="7">
        <v>33.5229</v>
      </c>
      <c r="M1453" s="7"/>
      <c r="N1453" s="7">
        <v>32.5904</v>
      </c>
      <c r="O1453" s="8">
        <v>15.2439</v>
      </c>
      <c r="P1453" s="7"/>
      <c r="Q1453" s="7">
        <v>24.5079</v>
      </c>
      <c r="R1453" s="7">
        <v>24.5079</v>
      </c>
      <c r="S1453" s="8">
        <v>24.5079</v>
      </c>
      <c r="T1453" s="7"/>
    </row>
    <row r="1454" spans="1:20" s="12" customFormat="1" ht="16.5" customHeight="1">
      <c r="A1454" s="3"/>
      <c r="B1454" s="13" t="s">
        <v>353</v>
      </c>
      <c r="C1454" s="7">
        <v>23.3266</v>
      </c>
      <c r="D1454" s="7"/>
      <c r="E1454" s="7">
        <v>23.5315</v>
      </c>
      <c r="F1454" s="14">
        <v>23.7369</v>
      </c>
      <c r="G1454" s="7">
        <v>27.5415</v>
      </c>
      <c r="H1454" s="7">
        <v>23.0575</v>
      </c>
      <c r="I1454" s="7">
        <v>30.4032</v>
      </c>
      <c r="J1454" s="7">
        <v>33.2081</v>
      </c>
      <c r="K1454" s="7">
        <v>33.2081</v>
      </c>
      <c r="L1454" s="7">
        <v>33.2081</v>
      </c>
      <c r="M1454" s="7"/>
      <c r="N1454" s="7">
        <v>32.0732</v>
      </c>
      <c r="O1454" s="8">
        <v>14.9063</v>
      </c>
      <c r="P1454" s="7"/>
      <c r="Q1454" s="7">
        <v>24.5495</v>
      </c>
      <c r="R1454" s="7">
        <v>24.5495</v>
      </c>
      <c r="S1454" s="8">
        <v>24.5495</v>
      </c>
      <c r="T1454" s="7"/>
    </row>
    <row r="1455" spans="1:20" s="12" customFormat="1" ht="16.5" customHeight="1">
      <c r="A1455" s="3"/>
      <c r="B1455" s="13" t="s">
        <v>354</v>
      </c>
      <c r="C1455" s="7">
        <v>23.4178</v>
      </c>
      <c r="D1455" s="7"/>
      <c r="E1455" s="7">
        <v>23.394</v>
      </c>
      <c r="F1455" s="14">
        <v>23.6166</v>
      </c>
      <c r="G1455" s="7">
        <v>27.5044</v>
      </c>
      <c r="H1455" s="7">
        <v>22.9224</v>
      </c>
      <c r="I1455" s="7">
        <v>29.7705</v>
      </c>
      <c r="J1455" s="7">
        <v>32.6586</v>
      </c>
      <c r="K1455" s="7">
        <v>32.6586</v>
      </c>
      <c r="L1455" s="7">
        <v>32.6586</v>
      </c>
      <c r="M1455" s="7"/>
      <c r="N1455" s="7">
        <v>31.582</v>
      </c>
      <c r="O1455" s="8">
        <v>15.0757</v>
      </c>
      <c r="P1455" s="7"/>
      <c r="Q1455" s="7">
        <v>24.5564</v>
      </c>
      <c r="R1455" s="7">
        <v>24.5564</v>
      </c>
      <c r="S1455" s="8">
        <v>24.5564</v>
      </c>
      <c r="T1455" s="7"/>
    </row>
    <row r="1456" spans="1:20" s="12" customFormat="1" ht="16.5" customHeight="1">
      <c r="A1456" s="3"/>
      <c r="B1456" s="13" t="s">
        <v>355</v>
      </c>
      <c r="C1456" s="7">
        <v>23.5333</v>
      </c>
      <c r="D1456" s="7"/>
      <c r="E1456" s="7">
        <v>23.4617</v>
      </c>
      <c r="F1456" s="14">
        <v>23.6797</v>
      </c>
      <c r="G1456" s="7">
        <v>27.5239</v>
      </c>
      <c r="H1456" s="7">
        <v>22.9932</v>
      </c>
      <c r="I1456" s="7">
        <v>30.2584</v>
      </c>
      <c r="J1456" s="7">
        <v>33.2204</v>
      </c>
      <c r="K1456" s="7">
        <v>33.2204</v>
      </c>
      <c r="L1456" s="7">
        <v>33.2204</v>
      </c>
      <c r="M1456" s="7"/>
      <c r="N1456" s="7">
        <v>32.2511</v>
      </c>
      <c r="O1456" s="8">
        <v>15.6523</v>
      </c>
      <c r="P1456" s="7"/>
      <c r="Q1456" s="7">
        <v>24.5564</v>
      </c>
      <c r="R1456" s="7">
        <v>24.5564</v>
      </c>
      <c r="S1456" s="8">
        <v>24.5564</v>
      </c>
      <c r="T1456" s="7"/>
    </row>
    <row r="1457" spans="1:19" s="12" customFormat="1" ht="16.5" customHeight="1">
      <c r="A1457" s="3"/>
      <c r="B1457" s="4" t="s">
        <v>13</v>
      </c>
      <c r="C1457" s="11">
        <f>(C1451*2+C1452*7+C1453*7+C1454*7+C1455*7+C1456*1)/31</f>
        <v>23.16099032258065</v>
      </c>
      <c r="D1457" s="11"/>
      <c r="E1457" s="11">
        <f>(E1451*2+E1452*7+E1453*7+E1454*7+E1455*7+E1456*1)/31</f>
        <v>23.399341935483868</v>
      </c>
      <c r="F1457" s="11">
        <f aca="true" t="shared" si="218" ref="F1457:S1457">(F1451*2+F1452*7+F1453*7+F1454*7+F1455*7+F1456*1)/31</f>
        <v>23.62210322580645</v>
      </c>
      <c r="G1457" s="11">
        <f t="shared" si="218"/>
        <v>27.506090322580647</v>
      </c>
      <c r="H1457" s="11">
        <f t="shared" si="218"/>
        <v>22.928564516129036</v>
      </c>
      <c r="I1457" s="11">
        <f t="shared" si="218"/>
        <v>29.666403225806455</v>
      </c>
      <c r="J1457" s="11">
        <f t="shared" si="218"/>
        <v>32.48525483870967</v>
      </c>
      <c r="K1457" s="11">
        <f t="shared" si="218"/>
        <v>32.48525483870967</v>
      </c>
      <c r="L1457" s="11">
        <f t="shared" si="218"/>
        <v>32.48525483870967</v>
      </c>
      <c r="M1457" s="11"/>
      <c r="N1457" s="11">
        <f t="shared" si="218"/>
        <v>31.5223935483871</v>
      </c>
      <c r="O1457" s="38">
        <f t="shared" si="218"/>
        <v>15.092722580645162</v>
      </c>
      <c r="P1457" s="11"/>
      <c r="Q1457" s="11">
        <f t="shared" si="218"/>
        <v>24.601664516129034</v>
      </c>
      <c r="R1457" s="48">
        <f t="shared" si="218"/>
        <v>24.601664516129034</v>
      </c>
      <c r="S1457" s="38">
        <f t="shared" si="218"/>
        <v>24.601664516129034</v>
      </c>
    </row>
    <row r="1458" spans="1:20" s="12" customFormat="1" ht="16.5" customHeight="1">
      <c r="A1458" s="3"/>
      <c r="B1458" s="13" t="s">
        <v>89</v>
      </c>
      <c r="C1458" s="7">
        <v>23.8967</v>
      </c>
      <c r="D1458" s="7"/>
      <c r="E1458" s="7">
        <v>23.6723</v>
      </c>
      <c r="F1458" s="14">
        <v>23.8751</v>
      </c>
      <c r="G1458" s="7">
        <v>27.6395</v>
      </c>
      <c r="H1458" s="7">
        <v>23.2029</v>
      </c>
      <c r="I1458" s="7">
        <v>29.5068</v>
      </c>
      <c r="J1458" s="7">
        <v>32.3662</v>
      </c>
      <c r="K1458" s="7">
        <v>32.3662</v>
      </c>
      <c r="L1458" s="7">
        <v>32.3662</v>
      </c>
      <c r="M1458" s="7"/>
      <c r="N1458" s="7">
        <v>31.3084</v>
      </c>
      <c r="O1458" s="8">
        <v>16.0618</v>
      </c>
      <c r="P1458" s="7"/>
      <c r="Q1458" s="7">
        <v>24.9629</v>
      </c>
      <c r="R1458" s="7">
        <v>24.9629</v>
      </c>
      <c r="S1458" s="8">
        <v>24.9629</v>
      </c>
      <c r="T1458" s="7"/>
    </row>
    <row r="1459" spans="1:20" s="12" customFormat="1" ht="16.5" customHeight="1">
      <c r="A1459" s="3"/>
      <c r="B1459" s="13" t="s">
        <v>356</v>
      </c>
      <c r="C1459" s="7">
        <v>24.2939</v>
      </c>
      <c r="D1459" s="7"/>
      <c r="E1459" s="7">
        <v>23.7782</v>
      </c>
      <c r="F1459" s="14">
        <v>23.9784</v>
      </c>
      <c r="G1459" s="7">
        <v>27.6714</v>
      </c>
      <c r="H1459" s="7">
        <v>23.3189</v>
      </c>
      <c r="I1459" s="7">
        <v>29.8392</v>
      </c>
      <c r="J1459" s="7">
        <v>31.811</v>
      </c>
      <c r="K1459" s="7">
        <v>31.811</v>
      </c>
      <c r="L1459" s="7">
        <v>31.811</v>
      </c>
      <c r="M1459" s="7"/>
      <c r="N1459" s="7">
        <v>30.7973</v>
      </c>
      <c r="O1459" s="8">
        <v>16.0031</v>
      </c>
      <c r="P1459" s="7"/>
      <c r="Q1459" s="7">
        <v>24.9629</v>
      </c>
      <c r="R1459" s="7">
        <v>24.9629</v>
      </c>
      <c r="S1459" s="8">
        <v>24.9629</v>
      </c>
      <c r="T1459" s="7"/>
    </row>
    <row r="1460" spans="1:20" s="12" customFormat="1" ht="16.5" customHeight="1">
      <c r="A1460" s="3"/>
      <c r="B1460" s="13" t="s">
        <v>357</v>
      </c>
      <c r="C1460" s="7">
        <v>23.154</v>
      </c>
      <c r="D1460" s="7"/>
      <c r="E1460" s="7">
        <v>22.8595</v>
      </c>
      <c r="F1460" s="14">
        <v>23.1738</v>
      </c>
      <c r="G1460" s="7">
        <v>27.423</v>
      </c>
      <c r="H1460" s="7">
        <v>22.415</v>
      </c>
      <c r="I1460" s="7">
        <v>28.375</v>
      </c>
      <c r="J1460" s="7">
        <v>30.2644</v>
      </c>
      <c r="K1460" s="7">
        <v>30.2644</v>
      </c>
      <c r="L1460" s="7">
        <v>30.2644</v>
      </c>
      <c r="M1460" s="7"/>
      <c r="N1460" s="7">
        <v>29.1222</v>
      </c>
      <c r="O1460" s="8">
        <v>15.5185</v>
      </c>
      <c r="P1460" s="7"/>
      <c r="Q1460" s="7">
        <v>26.6152</v>
      </c>
      <c r="R1460" s="7">
        <v>26.6152</v>
      </c>
      <c r="S1460" s="8">
        <v>26.6152</v>
      </c>
      <c r="T1460" s="7"/>
    </row>
    <row r="1461" spans="1:20" s="12" customFormat="1" ht="16.5" customHeight="1">
      <c r="A1461" s="3"/>
      <c r="B1461" s="13" t="s">
        <v>358</v>
      </c>
      <c r="C1461" s="7">
        <v>22.3334</v>
      </c>
      <c r="D1461" s="7"/>
      <c r="E1461" s="7">
        <v>22.2835</v>
      </c>
      <c r="F1461" s="14">
        <v>22.6594</v>
      </c>
      <c r="G1461" s="7">
        <v>27.2643</v>
      </c>
      <c r="H1461" s="7">
        <v>21.8371</v>
      </c>
      <c r="I1461" s="7">
        <v>27.0343</v>
      </c>
      <c r="J1461" s="7">
        <v>28.286</v>
      </c>
      <c r="K1461" s="7">
        <v>28.286</v>
      </c>
      <c r="L1461" s="7">
        <v>28.286</v>
      </c>
      <c r="M1461" s="7"/>
      <c r="N1461" s="7">
        <v>27.6467</v>
      </c>
      <c r="O1461" s="8">
        <v>14.5373</v>
      </c>
      <c r="P1461" s="7"/>
      <c r="Q1461" s="7">
        <v>26.8906</v>
      </c>
      <c r="R1461" s="7">
        <v>26.8906</v>
      </c>
      <c r="S1461" s="8">
        <v>26.8906</v>
      </c>
      <c r="T1461" s="7"/>
    </row>
    <row r="1462" spans="1:20" s="12" customFormat="1" ht="16.5" customHeight="1">
      <c r="A1462" s="3"/>
      <c r="B1462" s="13" t="s">
        <v>359</v>
      </c>
      <c r="C1462" s="7">
        <v>21.1195</v>
      </c>
      <c r="D1462" s="7"/>
      <c r="E1462" s="7">
        <v>21.2657</v>
      </c>
      <c r="F1462" s="14">
        <v>21.7559</v>
      </c>
      <c r="G1462" s="7">
        <v>26.9854</v>
      </c>
      <c r="H1462" s="7">
        <v>20.8221</v>
      </c>
      <c r="I1462" s="7">
        <v>25.882</v>
      </c>
      <c r="J1462" s="7">
        <v>26.5363</v>
      </c>
      <c r="K1462" s="7">
        <v>26.5363</v>
      </c>
      <c r="L1462" s="7">
        <v>26.5363</v>
      </c>
      <c r="M1462" s="7"/>
      <c r="N1462" s="7">
        <v>25.8064</v>
      </c>
      <c r="O1462" s="8">
        <v>13.899</v>
      </c>
      <c r="P1462" s="7"/>
      <c r="Q1462" s="7">
        <v>27.1763</v>
      </c>
      <c r="R1462" s="7">
        <v>27.1763</v>
      </c>
      <c r="S1462" s="8">
        <v>27.1763</v>
      </c>
      <c r="T1462" s="7"/>
    </row>
    <row r="1463" spans="1:19" s="12" customFormat="1" ht="16.5" customHeight="1">
      <c r="A1463" s="3"/>
      <c r="B1463" s="4" t="s">
        <v>13</v>
      </c>
      <c r="C1463" s="11">
        <f>(C1458*6+C1459*7+C1460*7+C1461*7+C1462*3)/30</f>
        <v>23.17359333333333</v>
      </c>
      <c r="D1463" s="11"/>
      <c r="E1463" s="11">
        <f aca="true" t="shared" si="219" ref="E1463:S1463">(E1458*6+E1459*7+E1460*7+E1461*7+E1462*3)/30</f>
        <v>22.94264333333333</v>
      </c>
      <c r="F1463" s="11">
        <f t="shared" si="219"/>
        <v>23.239983333333335</v>
      </c>
      <c r="G1463" s="11">
        <f t="shared" si="219"/>
        <v>27.443469999999998</v>
      </c>
      <c r="H1463" s="11">
        <f t="shared" si="219"/>
        <v>22.489356666666666</v>
      </c>
      <c r="I1463" s="11">
        <f t="shared" si="219"/>
        <v>28.380876666666666</v>
      </c>
      <c r="J1463" s="11">
        <f t="shared" si="219"/>
        <v>30.21119666666666</v>
      </c>
      <c r="K1463" s="11">
        <f t="shared" si="219"/>
        <v>30.21119666666666</v>
      </c>
      <c r="L1463" s="11">
        <f t="shared" si="219"/>
        <v>30.21119666666666</v>
      </c>
      <c r="M1463" s="11"/>
      <c r="N1463" s="11">
        <f t="shared" si="219"/>
        <v>29.27443333333333</v>
      </c>
      <c r="O1463" s="38">
        <f t="shared" si="219"/>
        <v>15.349336666666666</v>
      </c>
      <c r="P1463" s="11"/>
      <c r="Q1463" s="11">
        <f t="shared" si="219"/>
        <v>26.01957333333333</v>
      </c>
      <c r="R1463" s="48">
        <f t="shared" si="219"/>
        <v>26.01957333333333</v>
      </c>
      <c r="S1463" s="38">
        <f t="shared" si="219"/>
        <v>26.01957333333333</v>
      </c>
    </row>
    <row r="1464" spans="1:20" s="12" customFormat="1" ht="16.5" customHeight="1">
      <c r="A1464" s="3"/>
      <c r="B1464" s="13" t="s">
        <v>40</v>
      </c>
      <c r="C1464" s="7">
        <v>20.675725</v>
      </c>
      <c r="D1464" s="7"/>
      <c r="E1464" s="7">
        <v>21.161862499999998</v>
      </c>
      <c r="F1464" s="14">
        <v>21.744868250000003</v>
      </c>
      <c r="G1464" s="7">
        <v>27.445206250000002</v>
      </c>
      <c r="H1464" s="7">
        <v>20.72695075</v>
      </c>
      <c r="I1464" s="7">
        <v>25.921526574042044</v>
      </c>
      <c r="J1464" s="7">
        <v>26.70550195</v>
      </c>
      <c r="K1464" s="7">
        <v>26.70550195</v>
      </c>
      <c r="L1464" s="7">
        <v>26.70550195</v>
      </c>
      <c r="M1464" s="7"/>
      <c r="N1464" s="7">
        <v>25.913224999999997</v>
      </c>
      <c r="O1464" s="8">
        <v>13.355875</v>
      </c>
      <c r="P1464" s="7"/>
      <c r="Q1464" s="7">
        <v>27.3192</v>
      </c>
      <c r="R1464" s="7">
        <v>27.3192</v>
      </c>
      <c r="S1464" s="8">
        <v>27.3192</v>
      </c>
      <c r="T1464" s="7"/>
    </row>
    <row r="1465" spans="1:20" s="12" customFormat="1" ht="16.5" customHeight="1">
      <c r="A1465" s="3"/>
      <c r="B1465" s="13" t="s">
        <v>41</v>
      </c>
      <c r="C1465" s="7">
        <v>19.760214285714287</v>
      </c>
      <c r="D1465" s="7"/>
      <c r="E1465" s="7">
        <v>20.181188</v>
      </c>
      <c r="F1465" s="14">
        <v>20.873855</v>
      </c>
      <c r="G1465" s="7">
        <v>27.176375</v>
      </c>
      <c r="H1465" s="7">
        <v>19.748404999999998</v>
      </c>
      <c r="I1465" s="7">
        <v>23.68600176334905</v>
      </c>
      <c r="J1465" s="7">
        <v>25.093897114285713</v>
      </c>
      <c r="K1465" s="7">
        <v>25.093897114285713</v>
      </c>
      <c r="L1465" s="7">
        <v>25.093897114285713</v>
      </c>
      <c r="M1465" s="7"/>
      <c r="N1465" s="7">
        <v>23.989885714285712</v>
      </c>
      <c r="O1465" s="8">
        <v>12.85137142857143</v>
      </c>
      <c r="P1465" s="7"/>
      <c r="Q1465" s="7">
        <v>27.3192</v>
      </c>
      <c r="R1465" s="7">
        <v>27.3192</v>
      </c>
      <c r="S1465" s="8">
        <v>27.3192</v>
      </c>
      <c r="T1465" s="7"/>
    </row>
    <row r="1466" spans="1:20" s="12" customFormat="1" ht="16.5" customHeight="1">
      <c r="A1466" s="3"/>
      <c r="B1466" s="13" t="s">
        <v>360</v>
      </c>
      <c r="C1466" s="7">
        <v>19.536628571428572</v>
      </c>
      <c r="D1466" s="7"/>
      <c r="E1466" s="7">
        <v>19.975567</v>
      </c>
      <c r="F1466" s="14">
        <v>20.691905857142853</v>
      </c>
      <c r="G1466" s="7">
        <v>27.120217857142865</v>
      </c>
      <c r="H1466" s="7">
        <v>19.543993</v>
      </c>
      <c r="I1466" s="7">
        <v>23.96045429617356</v>
      </c>
      <c r="J1466" s="7">
        <v>25.460921314285713</v>
      </c>
      <c r="K1466" s="7">
        <v>25.460921314285713</v>
      </c>
      <c r="L1466" s="7">
        <v>25.460921314285713</v>
      </c>
      <c r="M1466" s="7"/>
      <c r="N1466" s="7">
        <v>24.457028571428573</v>
      </c>
      <c r="O1466" s="8">
        <v>12.919771428571432</v>
      </c>
      <c r="P1466" s="7"/>
      <c r="Q1466" s="7">
        <v>26.294271428571427</v>
      </c>
      <c r="R1466" s="7">
        <v>26.294271428571427</v>
      </c>
      <c r="S1466" s="8">
        <v>26.294271428571427</v>
      </c>
      <c r="T1466" s="7"/>
    </row>
    <row r="1467" spans="1:20" s="12" customFormat="1" ht="16.5" customHeight="1">
      <c r="A1467" s="3"/>
      <c r="B1467" s="13" t="s">
        <v>361</v>
      </c>
      <c r="C1467" s="7">
        <v>19.904342857142858</v>
      </c>
      <c r="D1467" s="7"/>
      <c r="E1467" s="7">
        <v>20.476353</v>
      </c>
      <c r="F1467" s="14">
        <v>21.137197571428576</v>
      </c>
      <c r="G1467" s="7">
        <v>27.257653571428573</v>
      </c>
      <c r="H1467" s="7">
        <v>20.044259000000004</v>
      </c>
      <c r="I1467" s="7">
        <v>24.880769452316855</v>
      </c>
      <c r="J1467" s="7">
        <v>25.79779945714286</v>
      </c>
      <c r="K1467" s="7">
        <v>25.79779945714286</v>
      </c>
      <c r="L1467" s="7">
        <v>25.79779945714286</v>
      </c>
      <c r="M1467" s="7"/>
      <c r="N1467" s="7">
        <v>24.587142857142858</v>
      </c>
      <c r="O1467" s="8">
        <v>13.425285714285716</v>
      </c>
      <c r="P1467" s="7"/>
      <c r="Q1467" s="7">
        <v>25.8843</v>
      </c>
      <c r="R1467" s="7">
        <v>25.8843</v>
      </c>
      <c r="S1467" s="8">
        <v>25.8843</v>
      </c>
      <c r="T1467" s="7"/>
    </row>
    <row r="1468" spans="1:20" s="12" customFormat="1" ht="16.5" customHeight="1">
      <c r="A1468" s="3"/>
      <c r="B1468" s="13" t="s">
        <v>362</v>
      </c>
      <c r="C1468" s="7">
        <v>20.732233333333337</v>
      </c>
      <c r="D1468" s="7"/>
      <c r="E1468" s="7">
        <v>21.27767516666667</v>
      </c>
      <c r="F1468" s="14">
        <v>21.851700499999996</v>
      </c>
      <c r="G1468" s="7">
        <v>27.478179166666667</v>
      </c>
      <c r="H1468" s="7">
        <v>20.846972166666664</v>
      </c>
      <c r="I1468" s="7">
        <v>25.524388279659167</v>
      </c>
      <c r="J1468" s="7">
        <v>26.092234766666667</v>
      </c>
      <c r="K1468" s="7">
        <v>26.092234766666667</v>
      </c>
      <c r="L1468" s="7">
        <v>26.092234766666667</v>
      </c>
      <c r="M1468" s="7"/>
      <c r="N1468" s="7">
        <v>24.742616666666663</v>
      </c>
      <c r="O1468" s="8">
        <v>13.936983333333332</v>
      </c>
      <c r="P1468" s="7"/>
      <c r="Q1468" s="7">
        <v>24.08463333333333</v>
      </c>
      <c r="R1468" s="7">
        <v>24.08463333333333</v>
      </c>
      <c r="S1468" s="8">
        <v>24.08463333333333</v>
      </c>
      <c r="T1468" s="7"/>
    </row>
    <row r="1469" spans="1:19" s="12" customFormat="1" ht="16.5" customHeight="1">
      <c r="A1469" s="3"/>
      <c r="B1469" s="4" t="s">
        <v>13</v>
      </c>
      <c r="C1469" s="11">
        <f>(C1464*4+C1465*7+C1466*7+C1467*7+C1468*6)/31</f>
        <v>20.048535483870968</v>
      </c>
      <c r="D1469" s="11"/>
      <c r="E1469" s="11">
        <f aca="true" t="shared" si="220" ref="E1469:S1469">(E1464*4+E1465*7+E1466*7+E1467*7+E1468*6)/31</f>
        <v>20.540169580645163</v>
      </c>
      <c r="F1469" s="11">
        <f t="shared" si="220"/>
        <v>21.193883387096776</v>
      </c>
      <c r="G1469" s="11">
        <f t="shared" si="220"/>
        <v>27.27514919354839</v>
      </c>
      <c r="H1469" s="11">
        <f t="shared" si="220"/>
        <v>20.107943064516128</v>
      </c>
      <c r="I1469" s="11">
        <f t="shared" si="220"/>
        <v>24.662032727645144</v>
      </c>
      <c r="J1469" s="11">
        <f t="shared" si="220"/>
        <v>25.73689489032258</v>
      </c>
      <c r="K1469" s="11">
        <f t="shared" si="220"/>
        <v>25.73689489032258</v>
      </c>
      <c r="L1469" s="11">
        <f t="shared" si="220"/>
        <v>25.73689489032258</v>
      </c>
      <c r="M1469" s="11"/>
      <c r="N1469" s="11">
        <f t="shared" si="220"/>
        <v>24.624096774193546</v>
      </c>
      <c r="O1469" s="38">
        <f t="shared" si="220"/>
        <v>13.271625806451611</v>
      </c>
      <c r="P1469" s="11"/>
      <c r="Q1469" s="11">
        <f t="shared" si="220"/>
        <v>26.137709677419355</v>
      </c>
      <c r="R1469" s="48">
        <f t="shared" si="220"/>
        <v>26.137709677419355</v>
      </c>
      <c r="S1469" s="38">
        <f t="shared" si="220"/>
        <v>26.137709677419355</v>
      </c>
    </row>
    <row r="1470" spans="1:19" s="12" customFormat="1" ht="16.5" customHeight="1">
      <c r="A1470" s="20"/>
      <c r="B1470" s="19">
        <v>2023</v>
      </c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39"/>
      <c r="P1470" s="14"/>
      <c r="S1470" s="15"/>
    </row>
    <row r="1471" spans="1:19" s="12" customFormat="1" ht="16.5" customHeight="1">
      <c r="A1471" s="3"/>
      <c r="B1471" s="13" t="s">
        <v>212</v>
      </c>
      <c r="C1471" s="7">
        <v>21.0367</v>
      </c>
      <c r="D1471" s="7"/>
      <c r="E1471" s="7">
        <v>21.562744</v>
      </c>
      <c r="F1471" s="7">
        <v>22.018989</v>
      </c>
      <c r="G1471" s="7">
        <v>26.976725000000002</v>
      </c>
      <c r="H1471" s="14">
        <v>21.133679</v>
      </c>
      <c r="I1471" s="7">
        <v>25.65174298891712</v>
      </c>
      <c r="J1471" s="7">
        <v>25.985182800000004</v>
      </c>
      <c r="K1471" s="7">
        <v>25.985182800000004</v>
      </c>
      <c r="L1471" s="7">
        <v>25.985182800000004</v>
      </c>
      <c r="M1471" s="7"/>
      <c r="N1471" s="7">
        <v>24.634</v>
      </c>
      <c r="O1471" s="8">
        <v>13.7712</v>
      </c>
      <c r="P1471" s="7"/>
      <c r="Q1471" s="7">
        <v>23.7247</v>
      </c>
      <c r="R1471" s="7">
        <v>23.7247</v>
      </c>
      <c r="S1471" s="8">
        <v>23.7247</v>
      </c>
    </row>
    <row r="1472" spans="1:19" s="12" customFormat="1" ht="16.5" customHeight="1">
      <c r="A1472" s="3"/>
      <c r="B1472" s="13" t="s">
        <v>363</v>
      </c>
      <c r="C1472" s="7">
        <v>20.449357142857142</v>
      </c>
      <c r="D1472" s="7"/>
      <c r="E1472" s="7">
        <v>20.989040999999997</v>
      </c>
      <c r="F1472" s="7">
        <v>21.512090999999998</v>
      </c>
      <c r="G1472" s="7">
        <v>26.820275000000002</v>
      </c>
      <c r="H1472" s="14">
        <v>20.564200999999997</v>
      </c>
      <c r="I1472" s="7">
        <v>24.51859083592419</v>
      </c>
      <c r="J1472" s="7">
        <v>24.985564657142856</v>
      </c>
      <c r="K1472" s="7">
        <v>24.985564657142856</v>
      </c>
      <c r="L1472" s="7">
        <v>24.985564657142856</v>
      </c>
      <c r="M1472" s="7"/>
      <c r="N1472" s="7">
        <v>23.66152857142857</v>
      </c>
      <c r="O1472" s="8">
        <v>13.057442857142856</v>
      </c>
      <c r="P1472" s="7"/>
      <c r="Q1472" s="7">
        <v>23.724700000000002</v>
      </c>
      <c r="R1472" s="7">
        <v>23.724700000000002</v>
      </c>
      <c r="S1472" s="8">
        <v>23.724700000000002</v>
      </c>
    </row>
    <row r="1473" spans="1:19" s="12" customFormat="1" ht="16.5" customHeight="1">
      <c r="A1473" s="3"/>
      <c r="B1473" s="13" t="s">
        <v>364</v>
      </c>
      <c r="C1473" s="7">
        <v>20.134285714285717</v>
      </c>
      <c r="D1473" s="7"/>
      <c r="E1473" s="7">
        <v>20.678002999999997</v>
      </c>
      <c r="F1473" s="7">
        <v>21.243495000000003</v>
      </c>
      <c r="G1473" s="7">
        <v>26.737375000000004</v>
      </c>
      <c r="H1473" s="14">
        <v>20.262444999999996</v>
      </c>
      <c r="I1473" s="7">
        <v>23.656855266028572</v>
      </c>
      <c r="J1473" s="7">
        <v>24.525205514285716</v>
      </c>
      <c r="K1473" s="7">
        <v>24.525205514285716</v>
      </c>
      <c r="L1473" s="7">
        <v>24.525205514285716</v>
      </c>
      <c r="M1473" s="7"/>
      <c r="N1473" s="7">
        <v>23.2024</v>
      </c>
      <c r="O1473" s="8">
        <v>12.562757142857143</v>
      </c>
      <c r="P1473" s="7"/>
      <c r="Q1473" s="7">
        <v>24.091814285714282</v>
      </c>
      <c r="R1473" s="7">
        <v>24.091814285714282</v>
      </c>
      <c r="S1473" s="8">
        <v>24.091814285714282</v>
      </c>
    </row>
    <row r="1474" spans="1:19" s="12" customFormat="1" ht="16.5" customHeight="1">
      <c r="A1474" s="3"/>
      <c r="B1474" s="13" t="s">
        <v>365</v>
      </c>
      <c r="C1474" s="7">
        <v>21.603</v>
      </c>
      <c r="D1474" s="7"/>
      <c r="E1474" s="7">
        <v>21.907712</v>
      </c>
      <c r="F1474" s="7">
        <v>22.343093142857146</v>
      </c>
      <c r="G1474" s="7">
        <v>27.076757142857144</v>
      </c>
      <c r="H1474" s="14">
        <v>21.497796</v>
      </c>
      <c r="I1474" s="7">
        <v>24.793001455896732</v>
      </c>
      <c r="J1474" s="7">
        <v>25.328970114285717</v>
      </c>
      <c r="K1474" s="7">
        <v>25.328970114285717</v>
      </c>
      <c r="L1474" s="7">
        <v>25.328970114285717</v>
      </c>
      <c r="M1474" s="7"/>
      <c r="N1474" s="7">
        <v>24.165614285714287</v>
      </c>
      <c r="O1474" s="8">
        <v>13.238071428571427</v>
      </c>
      <c r="P1474" s="7"/>
      <c r="Q1474" s="7">
        <v>24.152999999999995</v>
      </c>
      <c r="R1474" s="7">
        <v>24.152999999999995</v>
      </c>
      <c r="S1474" s="8">
        <v>24.152999999999995</v>
      </c>
    </row>
    <row r="1475" spans="1:19" s="12" customFormat="1" ht="16.5" customHeight="1">
      <c r="A1475" s="3"/>
      <c r="B1475" s="13" t="s">
        <v>366</v>
      </c>
      <c r="C1475" s="7">
        <v>22.48385714285714</v>
      </c>
      <c r="D1475" s="7"/>
      <c r="E1475" s="7">
        <v>22.637194</v>
      </c>
      <c r="F1475" s="7">
        <v>22.99517785714286</v>
      </c>
      <c r="G1475" s="7">
        <v>27.278017857142856</v>
      </c>
      <c r="H1475" s="14">
        <v>22.230385000000005</v>
      </c>
      <c r="I1475" s="7">
        <v>25.318028672319226</v>
      </c>
      <c r="J1475" s="7">
        <v>25.579965942857143</v>
      </c>
      <c r="K1475" s="7">
        <v>25.579965942857143</v>
      </c>
      <c r="L1475" s="7">
        <v>25.579965942857143</v>
      </c>
      <c r="M1475" s="7"/>
      <c r="N1475" s="7">
        <v>24.47757142857143</v>
      </c>
      <c r="O1475" s="8">
        <v>13.444999999999999</v>
      </c>
      <c r="P1475" s="7"/>
      <c r="Q1475" s="7">
        <v>23.783828571428568</v>
      </c>
      <c r="R1475" s="7">
        <v>23.783828571428568</v>
      </c>
      <c r="S1475" s="8">
        <v>23.783828571428568</v>
      </c>
    </row>
    <row r="1476" spans="1:19" s="12" customFormat="1" ht="16.5" customHeight="1">
      <c r="A1476" s="3"/>
      <c r="B1476" s="13" t="s">
        <v>367</v>
      </c>
      <c r="C1476" s="7">
        <v>22.2198</v>
      </c>
      <c r="D1476" s="7"/>
      <c r="E1476" s="7">
        <v>22.470651</v>
      </c>
      <c r="F1476" s="7">
        <v>22.846485</v>
      </c>
      <c r="G1476" s="7">
        <v>27.232125000000003</v>
      </c>
      <c r="H1476" s="14">
        <v>22.063335</v>
      </c>
      <c r="I1476" s="7">
        <v>25.22170988014517</v>
      </c>
      <c r="J1476" s="7">
        <v>25.5036135</v>
      </c>
      <c r="K1476" s="7">
        <v>25.5036135</v>
      </c>
      <c r="L1476" s="7">
        <v>25.5036135</v>
      </c>
      <c r="M1476" s="7"/>
      <c r="N1476" s="7">
        <v>24.249499999999998</v>
      </c>
      <c r="O1476" s="8">
        <v>13.5922</v>
      </c>
      <c r="P1476" s="7"/>
      <c r="Q1476" s="7">
        <v>23.7223</v>
      </c>
      <c r="R1476" s="7">
        <v>23.7223</v>
      </c>
      <c r="S1476" s="8">
        <v>23.7223</v>
      </c>
    </row>
    <row r="1477" spans="1:19" s="12" customFormat="1" ht="16.5" customHeight="1">
      <c r="A1477" s="3"/>
      <c r="B1477" s="4" t="s">
        <v>13</v>
      </c>
      <c r="C1477" s="11">
        <f>(C1471*1+C1472*7+C1473*7+C1474*7+C1475*7+C1476*2)/31</f>
        <v>21.231283870967744</v>
      </c>
      <c r="D1477" s="11"/>
      <c r="E1477" s="11">
        <f aca="true" t="shared" si="221" ref="E1477:S1477">(E1471*1+E1472*7+E1473*7+E1474*7+E1475*7+E1476*2)/31</f>
        <v>21.612506322580643</v>
      </c>
      <c r="F1477" s="11">
        <f t="shared" si="221"/>
        <v>22.076418</v>
      </c>
      <c r="G1477" s="11">
        <f t="shared" si="221"/>
        <v>26.994450000000004</v>
      </c>
      <c r="H1477" s="11">
        <f t="shared" si="221"/>
        <v>21.198198</v>
      </c>
      <c r="I1477" s="11">
        <f t="shared" si="221"/>
        <v>24.64840310839963</v>
      </c>
      <c r="J1477" s="11">
        <f t="shared" si="221"/>
        <v>25.15904365806452</v>
      </c>
      <c r="K1477" s="11">
        <f t="shared" si="221"/>
        <v>25.15904365806452</v>
      </c>
      <c r="L1477" s="11">
        <f t="shared" si="221"/>
        <v>25.15904365806452</v>
      </c>
      <c r="M1477" s="11"/>
      <c r="N1477" s="11">
        <f t="shared" si="221"/>
        <v>23.925251612903228</v>
      </c>
      <c r="O1477" s="38">
        <f t="shared" si="221"/>
        <v>13.13156451612903</v>
      </c>
      <c r="P1477" s="11"/>
      <c r="Q1477" s="11">
        <f t="shared" si="221"/>
        <v>23.9175064516129</v>
      </c>
      <c r="R1477" s="48">
        <f t="shared" si="221"/>
        <v>23.9175064516129</v>
      </c>
      <c r="S1477" s="38">
        <f t="shared" si="221"/>
        <v>23.9175064516129</v>
      </c>
    </row>
    <row r="1478" spans="1:19" s="12" customFormat="1" ht="16.5" customHeight="1">
      <c r="A1478" s="3"/>
      <c r="B1478" s="13" t="s">
        <v>221</v>
      </c>
      <c r="C1478" s="7">
        <v>21.178539999999998</v>
      </c>
      <c r="D1478" s="7"/>
      <c r="E1478" s="7">
        <v>21.625291</v>
      </c>
      <c r="F1478" s="7">
        <v>22.090482</v>
      </c>
      <c r="G1478" s="7">
        <v>26.978050000000003</v>
      </c>
      <c r="H1478" s="14">
        <v>21.217702</v>
      </c>
      <c r="I1478" s="7">
        <v>24.12843037441504</v>
      </c>
      <c r="J1478" s="7">
        <v>24.300313279999997</v>
      </c>
      <c r="K1478" s="7">
        <v>24.300313279999997</v>
      </c>
      <c r="L1478" s="7">
        <v>24.300313279999997</v>
      </c>
      <c r="M1478" s="7"/>
      <c r="N1478" s="7">
        <v>22.94142</v>
      </c>
      <c r="O1478" s="8">
        <v>12.77282</v>
      </c>
      <c r="P1478" s="7"/>
      <c r="Q1478" s="7">
        <v>23.7223</v>
      </c>
      <c r="R1478" s="7">
        <v>23.7223</v>
      </c>
      <c r="S1478" s="8">
        <v>23.7223</v>
      </c>
    </row>
    <row r="1479" spans="1:19" s="12" customFormat="1" ht="16.5" customHeight="1">
      <c r="A1479" s="3"/>
      <c r="B1479" s="13" t="s">
        <v>368</v>
      </c>
      <c r="C1479" s="7">
        <v>21.48614285714286</v>
      </c>
      <c r="D1479" s="7"/>
      <c r="E1479" s="7">
        <v>22.038977</v>
      </c>
      <c r="F1479" s="7">
        <v>22.45148742857143</v>
      </c>
      <c r="G1479" s="7">
        <v>27.089471428571432</v>
      </c>
      <c r="H1479" s="14">
        <v>21.623276</v>
      </c>
      <c r="I1479" s="7">
        <v>23.33161103781333</v>
      </c>
      <c r="J1479" s="7">
        <v>23.532636057142856</v>
      </c>
      <c r="K1479" s="7">
        <v>23.532636057142856</v>
      </c>
      <c r="L1479" s="7">
        <v>23.532636057142856</v>
      </c>
      <c r="M1479" s="7"/>
      <c r="N1479" s="7">
        <v>22.136514285714288</v>
      </c>
      <c r="O1479" s="8">
        <v>13.09608</v>
      </c>
      <c r="P1479" s="7"/>
      <c r="Q1479" s="7">
        <v>26.230214285714286</v>
      </c>
      <c r="R1479" s="7">
        <v>26.230214285714286</v>
      </c>
      <c r="S1479" s="8">
        <v>26.230214285714286</v>
      </c>
    </row>
    <row r="1480" spans="1:19" s="12" customFormat="1" ht="16.5" customHeight="1">
      <c r="A1480" s="3"/>
      <c r="B1480" s="13" t="s">
        <v>370</v>
      </c>
      <c r="C1480" s="7">
        <v>22.083114285714284</v>
      </c>
      <c r="D1480" s="7"/>
      <c r="E1480" s="7">
        <v>22.626109000000003</v>
      </c>
      <c r="F1480" s="7">
        <v>22.968036</v>
      </c>
      <c r="G1480" s="7">
        <v>27.2489</v>
      </c>
      <c r="H1480" s="14">
        <v>22.203596000000005</v>
      </c>
      <c r="I1480" s="7">
        <v>23.318731845702356</v>
      </c>
      <c r="J1480" s="7">
        <v>23.94470082857143</v>
      </c>
      <c r="K1480" s="7">
        <v>23.94470082857143</v>
      </c>
      <c r="L1480" s="7">
        <v>23.94470082857143</v>
      </c>
      <c r="M1480" s="7"/>
      <c r="N1480" s="7">
        <v>22.254357142857142</v>
      </c>
      <c r="O1480" s="8">
        <v>14.28444</v>
      </c>
      <c r="P1480" s="7"/>
      <c r="Q1480" s="7">
        <v>26.6482</v>
      </c>
      <c r="R1480" s="7">
        <v>26.6482</v>
      </c>
      <c r="S1480" s="8">
        <v>26.6482</v>
      </c>
    </row>
    <row r="1481" spans="1:19" s="12" customFormat="1" ht="16.5" customHeight="1">
      <c r="A1481" s="3"/>
      <c r="B1481" s="13" t="s">
        <v>369</v>
      </c>
      <c r="C1481" s="7">
        <v>21.801414285714287</v>
      </c>
      <c r="D1481" s="7"/>
      <c r="E1481" s="7">
        <v>22.267283</v>
      </c>
      <c r="F1481" s="7">
        <v>22.642716857142858</v>
      </c>
      <c r="G1481" s="7">
        <v>27.148492857142855</v>
      </c>
      <c r="H1481" s="14">
        <v>21.838114</v>
      </c>
      <c r="I1481" s="7">
        <v>22.58372970327652</v>
      </c>
      <c r="J1481" s="7">
        <v>23.461343457142856</v>
      </c>
      <c r="K1481" s="7">
        <v>23.461343457142856</v>
      </c>
      <c r="L1481" s="7">
        <v>23.461343457142856</v>
      </c>
      <c r="M1481" s="7"/>
      <c r="N1481" s="7">
        <v>21.574042857142853</v>
      </c>
      <c r="O1481" s="8">
        <v>14.79262</v>
      </c>
      <c r="P1481" s="7"/>
      <c r="Q1481" s="7">
        <v>26.64537142857143</v>
      </c>
      <c r="R1481" s="7">
        <v>26.64537142857143</v>
      </c>
      <c r="S1481" s="8">
        <v>26.64537142857143</v>
      </c>
    </row>
    <row r="1482" spans="1:19" s="12" customFormat="1" ht="16.5" customHeight="1">
      <c r="A1482" s="3"/>
      <c r="B1482" s="13" t="s">
        <v>371</v>
      </c>
      <c r="C1482" s="7">
        <v>21.96705</v>
      </c>
      <c r="D1482" s="7"/>
      <c r="E1482" s="7">
        <v>22.4369655</v>
      </c>
      <c r="F1482" s="7">
        <v>22.7900385</v>
      </c>
      <c r="G1482" s="7">
        <v>27.1939625</v>
      </c>
      <c r="H1482" s="14">
        <v>22.003623500000003</v>
      </c>
      <c r="I1482" s="7">
        <v>22.985430498635083</v>
      </c>
      <c r="J1482" s="7">
        <v>23.907808100000004</v>
      </c>
      <c r="K1482" s="7">
        <v>23.907808100000004</v>
      </c>
      <c r="L1482" s="7">
        <v>23.907808100000004</v>
      </c>
      <c r="M1482" s="7"/>
      <c r="N1482" s="7">
        <v>21.927149999999997</v>
      </c>
      <c r="O1482" s="8">
        <v>14.8321</v>
      </c>
      <c r="P1482" s="7"/>
      <c r="Q1482" s="7">
        <v>26.6449</v>
      </c>
      <c r="R1482" s="7">
        <v>26.6449</v>
      </c>
      <c r="S1482" s="8">
        <v>26.6449</v>
      </c>
    </row>
    <row r="1483" spans="1:19" s="12" customFormat="1" ht="16.5" customHeight="1">
      <c r="A1483" s="3"/>
      <c r="B1483" s="4" t="s">
        <v>13</v>
      </c>
      <c r="C1483" s="11">
        <f>(C1478*5+C1479*7+C1480*7+C1481*7+C1482*2)/28</f>
        <v>21.693624999999997</v>
      </c>
      <c r="D1483" s="11"/>
      <c r="E1483" s="11">
        <f aca="true" t="shared" si="222" ref="E1483:S1483">(E1478*5+E1479*7+E1480*7+E1481*7+E1482*2)/28</f>
        <v>22.19739175</v>
      </c>
      <c r="F1483" s="11">
        <f t="shared" si="222"/>
        <v>22.58814889285714</v>
      </c>
      <c r="G1483" s="11">
        <f t="shared" si="222"/>
        <v>27.131650892857145</v>
      </c>
      <c r="H1483" s="11">
        <f t="shared" si="222"/>
        <v>21.776809250000003</v>
      </c>
      <c r="I1483" s="11">
        <f t="shared" si="222"/>
        <v>23.258982892031813</v>
      </c>
      <c r="J1483" s="11">
        <f t="shared" si="222"/>
        <v>23.781712321428575</v>
      </c>
      <c r="K1483" s="11">
        <f t="shared" si="222"/>
        <v>23.781712321428575</v>
      </c>
      <c r="L1483" s="11">
        <f t="shared" si="222"/>
        <v>23.781712321428575</v>
      </c>
      <c r="M1483" s="11"/>
      <c r="N1483" s="11">
        <f t="shared" si="222"/>
        <v>22.154135714285708</v>
      </c>
      <c r="O1483" s="38">
        <f t="shared" si="222"/>
        <v>13.883581428571429</v>
      </c>
      <c r="P1483" s="11"/>
      <c r="Q1483" s="11">
        <f>(Q1478*5+Q1479*7+Q1480*7+Q1481*7+Q1482*2)/28</f>
        <v>26.020278571428573</v>
      </c>
      <c r="R1483" s="48">
        <f t="shared" si="222"/>
        <v>26.020278571428573</v>
      </c>
      <c r="S1483" s="38">
        <f t="shared" si="222"/>
        <v>26.020278571428573</v>
      </c>
    </row>
    <row r="1484" spans="1:19" s="12" customFormat="1" ht="16.5" customHeight="1">
      <c r="A1484" s="3"/>
      <c r="B1484" s="13" t="s">
        <v>54</v>
      </c>
      <c r="C1484" s="7">
        <v>22.1551</v>
      </c>
      <c r="D1484" s="7"/>
      <c r="E1484" s="7">
        <v>22.472734</v>
      </c>
      <c r="F1484" s="7">
        <v>22.826110000000003</v>
      </c>
      <c r="G1484" s="7">
        <v>27.23275</v>
      </c>
      <c r="H1484" s="14">
        <v>22.039210000000004</v>
      </c>
      <c r="I1484" s="7">
        <v>23.541626895976954</v>
      </c>
      <c r="J1484" s="7">
        <v>24.450770320000004</v>
      </c>
      <c r="K1484" s="7">
        <v>24.450770320000004</v>
      </c>
      <c r="L1484" s="7">
        <v>24.450770320000004</v>
      </c>
      <c r="M1484" s="7"/>
      <c r="N1484" s="7">
        <v>22.609</v>
      </c>
      <c r="O1484" s="8">
        <v>15.89086</v>
      </c>
      <c r="P1484" s="7"/>
      <c r="Q1484" s="7">
        <v>26.6449</v>
      </c>
      <c r="R1484" s="7">
        <v>26.6449</v>
      </c>
      <c r="S1484" s="8">
        <v>26.6449</v>
      </c>
    </row>
    <row r="1485" spans="1:19" s="12" customFormat="1" ht="16.5" customHeight="1">
      <c r="A1485" s="3"/>
      <c r="B1485" s="13" t="s">
        <v>429</v>
      </c>
      <c r="C1485" s="7">
        <v>22.574514285714283</v>
      </c>
      <c r="D1485" s="7"/>
      <c r="E1485" s="7">
        <v>22.779287000000004</v>
      </c>
      <c r="F1485" s="7">
        <v>23.09920728571429</v>
      </c>
      <c r="G1485" s="7">
        <v>27.317039285714284</v>
      </c>
      <c r="H1485" s="14">
        <v>22.346023000000002</v>
      </c>
      <c r="I1485" s="7">
        <v>23.23479498653054</v>
      </c>
      <c r="J1485" s="7">
        <v>24.432424</v>
      </c>
      <c r="K1485" s="7">
        <v>24.432424</v>
      </c>
      <c r="L1485" s="7">
        <v>24.432424</v>
      </c>
      <c r="M1485" s="7"/>
      <c r="N1485" s="7">
        <v>22.565542857142855</v>
      </c>
      <c r="O1485" s="8">
        <v>15.887471428571429</v>
      </c>
      <c r="P1485" s="7"/>
      <c r="Q1485" s="7">
        <v>27.19204285714286</v>
      </c>
      <c r="R1485" s="7">
        <v>27.19204285714286</v>
      </c>
      <c r="S1485" s="8">
        <v>27.19204285714286</v>
      </c>
    </row>
    <row r="1486" spans="1:19" s="12" customFormat="1" ht="16.5" customHeight="1">
      <c r="A1486" s="3"/>
      <c r="B1486" s="13" t="s">
        <v>430</v>
      </c>
      <c r="C1486" s="7">
        <v>21.726157142857144</v>
      </c>
      <c r="D1486" s="7"/>
      <c r="E1486" s="7">
        <v>21.951564</v>
      </c>
      <c r="F1486" s="7">
        <v>22.36616885714286</v>
      </c>
      <c r="G1486" s="7">
        <v>27.090792857142855</v>
      </c>
      <c r="H1486" s="14">
        <v>21.522486000000004</v>
      </c>
      <c r="I1486" s="7">
        <v>21.72446479183889</v>
      </c>
      <c r="J1486" s="7">
        <v>23.088093142857144</v>
      </c>
      <c r="K1486" s="7">
        <v>23.088093142857144</v>
      </c>
      <c r="L1486" s="7">
        <v>23.088093142857144</v>
      </c>
      <c r="M1486" s="7"/>
      <c r="N1486" s="7">
        <v>21.07082857142857</v>
      </c>
      <c r="O1486" s="8">
        <v>14.682457142857144</v>
      </c>
      <c r="P1486" s="7"/>
      <c r="Q1486" s="7">
        <v>27.4109</v>
      </c>
      <c r="R1486" s="7">
        <v>27.4109</v>
      </c>
      <c r="S1486" s="8">
        <v>27.4109</v>
      </c>
    </row>
    <row r="1487" spans="1:19" s="12" customFormat="1" ht="16.5" customHeight="1">
      <c r="A1487" s="3"/>
      <c r="B1487" s="13" t="s">
        <v>431</v>
      </c>
      <c r="C1487" s="7">
        <v>21.006228571428572</v>
      </c>
      <c r="D1487" s="7"/>
      <c r="E1487" s="7">
        <v>21.295025000000003</v>
      </c>
      <c r="F1487" s="7">
        <v>21.786012142857146</v>
      </c>
      <c r="G1487" s="7">
        <v>26.91173214285714</v>
      </c>
      <c r="H1487" s="14">
        <v>20.870705000000005</v>
      </c>
      <c r="I1487" s="7">
        <v>20.72544769407164</v>
      </c>
      <c r="J1487" s="7">
        <v>22.359663828571428</v>
      </c>
      <c r="K1487" s="7">
        <v>22.359663828571428</v>
      </c>
      <c r="L1487" s="7">
        <v>22.359663828571428</v>
      </c>
      <c r="M1487" s="7"/>
      <c r="N1487" s="7">
        <v>20.48382857142857</v>
      </c>
      <c r="O1487" s="8">
        <v>13.678714285714282</v>
      </c>
      <c r="P1487" s="7"/>
      <c r="Q1487" s="7">
        <v>24.284557142857143</v>
      </c>
      <c r="R1487" s="7">
        <v>24.284557142857143</v>
      </c>
      <c r="S1487" s="8">
        <v>24.284557142857143</v>
      </c>
    </row>
    <row r="1488" spans="1:19" s="12" customFormat="1" ht="16.5" customHeight="1">
      <c r="A1488" s="3"/>
      <c r="B1488" s="13" t="s">
        <v>432</v>
      </c>
      <c r="C1488" s="7">
        <v>21.92622</v>
      </c>
      <c r="D1488" s="7"/>
      <c r="E1488" s="7">
        <v>22.1126106</v>
      </c>
      <c r="F1488" s="7">
        <v>22.5130774</v>
      </c>
      <c r="G1488" s="7">
        <v>27.136134999999996</v>
      </c>
      <c r="H1488" s="14">
        <v>21.6875314</v>
      </c>
      <c r="I1488" s="7">
        <v>20.907265213493183</v>
      </c>
      <c r="J1488" s="7">
        <v>22.551201120000005</v>
      </c>
      <c r="K1488" s="7">
        <v>22.551201120000005</v>
      </c>
      <c r="L1488" s="7">
        <v>22.551201120000005</v>
      </c>
      <c r="M1488" s="7"/>
      <c r="N1488" s="7">
        <v>20.914920000000002</v>
      </c>
      <c r="O1488" s="8">
        <v>14.210000000000003</v>
      </c>
      <c r="P1488" s="7"/>
      <c r="Q1488" s="7">
        <v>23.7635</v>
      </c>
      <c r="R1488" s="7">
        <v>23.7635</v>
      </c>
      <c r="S1488" s="8">
        <v>23.7635</v>
      </c>
    </row>
    <row r="1489" spans="1:19" s="12" customFormat="1" ht="16.5" customHeight="1">
      <c r="A1489" s="3"/>
      <c r="B1489" s="4" t="s">
        <v>13</v>
      </c>
      <c r="C1489" s="11">
        <f>(C1484*5+C1485*7+C1486*7+C1487*7+C1488*5)/31</f>
        <v>21.856609677419357</v>
      </c>
      <c r="D1489" s="11"/>
      <c r="E1489" s="11">
        <f aca="true" t="shared" si="223" ref="E1489:S1489">(E1484*5+E1485*7+E1486*7+E1487*7+E1488*5)/31</f>
        <v>22.100253387096778</v>
      </c>
      <c r="F1489" s="11">
        <f t="shared" si="223"/>
        <v>22.498569516129034</v>
      </c>
      <c r="G1489" s="11">
        <f t="shared" si="223"/>
        <v>27.13165725806451</v>
      </c>
      <c r="H1489" s="11">
        <f t="shared" si="223"/>
        <v>21.67123241935484</v>
      </c>
      <c r="I1489" s="11">
        <f t="shared" si="223"/>
        <v>22.0012068662722</v>
      </c>
      <c r="J1489" s="11">
        <f t="shared" si="223"/>
        <v>23.360358838709676</v>
      </c>
      <c r="K1489" s="11">
        <f t="shared" si="223"/>
        <v>23.360358838709676</v>
      </c>
      <c r="L1489" s="11">
        <f t="shared" si="223"/>
        <v>23.360358838709676</v>
      </c>
      <c r="M1489" s="11"/>
      <c r="N1489" s="11">
        <f t="shared" si="223"/>
        <v>21.49874193548387</v>
      </c>
      <c r="O1489" s="38">
        <f t="shared" si="223"/>
        <v>14.846606451612903</v>
      </c>
      <c r="P1489" s="11"/>
      <c r="Q1489" s="11">
        <f t="shared" si="223"/>
        <v>25.943693548387095</v>
      </c>
      <c r="R1489" s="48">
        <f t="shared" si="223"/>
        <v>25.943693548387095</v>
      </c>
      <c r="S1489" s="38">
        <f t="shared" si="223"/>
        <v>25.943693548387095</v>
      </c>
    </row>
    <row r="1490" spans="1:19" s="12" customFormat="1" ht="16.5" customHeight="1">
      <c r="A1490" s="3"/>
      <c r="B1490" s="13" t="s">
        <v>226</v>
      </c>
      <c r="C1490" s="7">
        <v>21.703850000000003</v>
      </c>
      <c r="D1490" s="7"/>
      <c r="E1490" s="7">
        <v>21.9907605</v>
      </c>
      <c r="F1490" s="7">
        <v>22.3844835</v>
      </c>
      <c r="G1490" s="7">
        <v>26.965087500000003</v>
      </c>
      <c r="H1490" s="14">
        <v>21.5665185</v>
      </c>
      <c r="I1490" s="7">
        <v>20.690849471582048</v>
      </c>
      <c r="J1490" s="7">
        <v>22.3986509</v>
      </c>
      <c r="K1490" s="7">
        <v>22.3986509</v>
      </c>
      <c r="L1490" s="7">
        <v>22.3986509</v>
      </c>
      <c r="M1490" s="7"/>
      <c r="N1490" s="7">
        <v>20.8261</v>
      </c>
      <c r="O1490" s="8">
        <v>14.53095</v>
      </c>
      <c r="P1490" s="7"/>
      <c r="Q1490" s="7">
        <v>23.7635</v>
      </c>
      <c r="R1490" s="7">
        <v>23.7635</v>
      </c>
      <c r="S1490" s="8">
        <v>23.7635</v>
      </c>
    </row>
    <row r="1491" spans="1:19" s="12" customFormat="1" ht="16.5" customHeight="1">
      <c r="A1491" s="3"/>
      <c r="B1491" s="13" t="s">
        <v>433</v>
      </c>
      <c r="C1491" s="7">
        <v>22.623985714285713</v>
      </c>
      <c r="D1491" s="7"/>
      <c r="E1491" s="7">
        <v>23.083456000000005</v>
      </c>
      <c r="F1491" s="7">
        <v>23.358016714285718</v>
      </c>
      <c r="G1491" s="7">
        <v>27.26556071428572</v>
      </c>
      <c r="H1491" s="14">
        <v>22.660241000000003</v>
      </c>
      <c r="I1491" s="7">
        <v>21.508324779816117</v>
      </c>
      <c r="J1491" s="7">
        <v>23.019937942857144</v>
      </c>
      <c r="K1491" s="7">
        <v>23.019937942857144</v>
      </c>
      <c r="L1491" s="7">
        <v>23.019937942857144</v>
      </c>
      <c r="M1491" s="7"/>
      <c r="N1491" s="7">
        <v>21.53405714285714</v>
      </c>
      <c r="O1491" s="8">
        <v>15.632599999999998</v>
      </c>
      <c r="P1491" s="7"/>
      <c r="Q1491" s="7">
        <v>21.36375714285714</v>
      </c>
      <c r="R1491" s="7">
        <v>21.36375714285714</v>
      </c>
      <c r="S1491" s="8">
        <v>21.36375714285714</v>
      </c>
    </row>
    <row r="1492" spans="1:19" s="12" customFormat="1" ht="16.5" customHeight="1">
      <c r="A1492" s="3"/>
      <c r="B1492" s="13" t="s">
        <v>434</v>
      </c>
      <c r="C1492" s="7">
        <v>22.882057142857143</v>
      </c>
      <c r="D1492" s="7"/>
      <c r="E1492" s="7">
        <v>23.260581</v>
      </c>
      <c r="F1492" s="7">
        <v>23.514034285714292</v>
      </c>
      <c r="G1492" s="7">
        <v>27.313714285714287</v>
      </c>
      <c r="H1492" s="14">
        <v>22.835520000000002</v>
      </c>
      <c r="I1492" s="7">
        <v>21.709100211359992</v>
      </c>
      <c r="J1492" s="7">
        <v>22.996545542857138</v>
      </c>
      <c r="K1492" s="7">
        <v>22.996545542857138</v>
      </c>
      <c r="L1492" s="7">
        <v>22.996545542857138</v>
      </c>
      <c r="M1492" s="7"/>
      <c r="N1492" s="7">
        <v>21.495642857142858</v>
      </c>
      <c r="O1492" s="8">
        <v>16.422657142857144</v>
      </c>
      <c r="P1492" s="7"/>
      <c r="Q1492" s="7">
        <v>20.963799999999996</v>
      </c>
      <c r="R1492" s="7">
        <v>20.963799999999996</v>
      </c>
      <c r="S1492" s="8">
        <v>20.963799999999996</v>
      </c>
    </row>
    <row r="1493" spans="1:19" s="12" customFormat="1" ht="16.5" customHeight="1">
      <c r="A1493" s="3"/>
      <c r="B1493" s="13" t="s">
        <v>435</v>
      </c>
      <c r="C1493" s="7">
        <v>22.028457142857143</v>
      </c>
      <c r="D1493" s="7"/>
      <c r="E1493" s="7">
        <v>22.205085000000004</v>
      </c>
      <c r="F1493" s="7">
        <v>22.573254000000002</v>
      </c>
      <c r="G1493" s="7">
        <v>27.02335</v>
      </c>
      <c r="H1493" s="14">
        <v>21.778594000000002</v>
      </c>
      <c r="I1493" s="7">
        <v>21.30535075696746</v>
      </c>
      <c r="J1493" s="7">
        <v>22.24207514285715</v>
      </c>
      <c r="K1493" s="7">
        <v>22.24207514285715</v>
      </c>
      <c r="L1493" s="7">
        <v>22.24207514285715</v>
      </c>
      <c r="M1493" s="7"/>
      <c r="N1493" s="7">
        <v>20.81402857142857</v>
      </c>
      <c r="O1493" s="8">
        <v>16.111371428571427</v>
      </c>
      <c r="P1493" s="7"/>
      <c r="Q1493" s="7">
        <v>21.167871428571427</v>
      </c>
      <c r="R1493" s="7">
        <v>21.167871428571427</v>
      </c>
      <c r="S1493" s="8">
        <v>21.167871428571427</v>
      </c>
    </row>
    <row r="1494" spans="1:19" s="12" customFormat="1" ht="16.5" customHeight="1">
      <c r="A1494" s="3"/>
      <c r="B1494" s="13" t="s">
        <v>436</v>
      </c>
      <c r="C1494" s="7">
        <v>20.80625714285714</v>
      </c>
      <c r="D1494" s="7"/>
      <c r="E1494" s="7">
        <v>21.027584</v>
      </c>
      <c r="F1494" s="7">
        <v>21.526271142857144</v>
      </c>
      <c r="G1494" s="7">
        <v>26.700207142857145</v>
      </c>
      <c r="H1494" s="14">
        <v>20.602354</v>
      </c>
      <c r="I1494" s="7">
        <v>20.491490799882826</v>
      </c>
      <c r="J1494" s="7">
        <v>21.453087771428574</v>
      </c>
      <c r="K1494" s="7">
        <v>21.453087771428574</v>
      </c>
      <c r="L1494" s="7">
        <v>21.453087771428574</v>
      </c>
      <c r="M1494" s="7"/>
      <c r="N1494" s="7">
        <v>19.864214285714286</v>
      </c>
      <c r="O1494" s="8">
        <v>15.527942857142857</v>
      </c>
      <c r="P1494" s="7"/>
      <c r="Q1494" s="7">
        <v>21.2495</v>
      </c>
      <c r="R1494" s="7">
        <v>21.2495</v>
      </c>
      <c r="S1494" s="8">
        <v>21.2495</v>
      </c>
    </row>
    <row r="1495" spans="1:19" s="12" customFormat="1" ht="16.5" customHeight="1">
      <c r="A1495" s="3"/>
      <c r="B1495" s="4" t="s">
        <v>13</v>
      </c>
      <c r="C1495" s="11">
        <f>(C1490*2+C1491*7+C1492*7+C1493*7+C1494*7)/30</f>
        <v>22.059766666666665</v>
      </c>
      <c r="D1495" s="11"/>
      <c r="E1495" s="11">
        <f aca="true" t="shared" si="224" ref="E1495:S1495">(E1490*2+E1491*7+E1492*7+E1493*7+E1494*7)/30</f>
        <v>22.3672821</v>
      </c>
      <c r="F1495" s="11">
        <f t="shared" si="224"/>
        <v>22.719</v>
      </c>
      <c r="G1495" s="11">
        <f t="shared" si="224"/>
        <v>27.06833333333333</v>
      </c>
      <c r="H1495" s="11">
        <f t="shared" si="224"/>
        <v>21.942333333333334</v>
      </c>
      <c r="I1495" s="11">
        <f t="shared" si="224"/>
        <v>21.216052159311626</v>
      </c>
      <c r="J1495" s="11">
        <f t="shared" si="224"/>
        <v>22.425960886666665</v>
      </c>
      <c r="K1495" s="11">
        <f t="shared" si="224"/>
        <v>22.425960886666665</v>
      </c>
      <c r="L1495" s="11">
        <f t="shared" si="224"/>
        <v>22.425960886666665</v>
      </c>
      <c r="M1495" s="11"/>
      <c r="N1495" s="11">
        <f t="shared" si="224"/>
        <v>20.92026</v>
      </c>
      <c r="O1495" s="38">
        <f t="shared" si="224"/>
        <v>15.830796666666666</v>
      </c>
      <c r="P1495" s="11"/>
      <c r="Q1495" s="11">
        <f t="shared" si="224"/>
        <v>21.35805</v>
      </c>
      <c r="R1495" s="48">
        <f t="shared" si="224"/>
        <v>21.35805</v>
      </c>
      <c r="S1495" s="38">
        <f t="shared" si="224"/>
        <v>21.35805</v>
      </c>
    </row>
    <row r="1496" spans="1:19" s="12" customFormat="1" ht="16.5" customHeight="1">
      <c r="A1496" s="3"/>
      <c r="B1496" s="13" t="s">
        <v>230</v>
      </c>
      <c r="C1496" s="7">
        <v>19.568385714285714</v>
      </c>
      <c r="D1496" s="7"/>
      <c r="E1496" s="7">
        <v>19.89726</v>
      </c>
      <c r="F1496" s="7">
        <v>20.522033142857143</v>
      </c>
      <c r="G1496" s="7">
        <v>26.39025714285714</v>
      </c>
      <c r="H1496" s="14">
        <v>19.474135999999998</v>
      </c>
      <c r="I1496" s="7">
        <v>19.29518047829611</v>
      </c>
      <c r="J1496" s="7">
        <v>20.0727786</v>
      </c>
      <c r="K1496" s="7">
        <v>20.0727786</v>
      </c>
      <c r="L1496" s="7">
        <v>20.0727786</v>
      </c>
      <c r="M1496" s="7"/>
      <c r="N1496" s="7">
        <v>18.543314285714285</v>
      </c>
      <c r="O1496" s="8">
        <v>14.676628571428571</v>
      </c>
      <c r="P1496" s="7"/>
      <c r="Q1496" s="7">
        <v>21.374128571428574</v>
      </c>
      <c r="R1496" s="7">
        <v>21.374128571428574</v>
      </c>
      <c r="S1496" s="8">
        <v>21.374128571428574</v>
      </c>
    </row>
    <row r="1497" spans="1:19" s="12" customFormat="1" ht="16.5" customHeight="1">
      <c r="A1497" s="3"/>
      <c r="B1497" s="13" t="s">
        <v>437</v>
      </c>
      <c r="C1497" s="7">
        <v>19.2818</v>
      </c>
      <c r="D1497" s="7"/>
      <c r="E1497" s="7">
        <v>19.481597999999998</v>
      </c>
      <c r="F1497" s="7">
        <v>20.155172571428572</v>
      </c>
      <c r="G1497" s="7">
        <v>26.27702857142857</v>
      </c>
      <c r="H1497" s="14">
        <v>19.061984000000002</v>
      </c>
      <c r="I1497" s="7">
        <v>19.404705978427298</v>
      </c>
      <c r="J1497" s="7">
        <v>20.08587625714286</v>
      </c>
      <c r="K1497" s="7">
        <v>20.08587625714286</v>
      </c>
      <c r="L1497" s="7">
        <v>20.08587625714286</v>
      </c>
      <c r="M1497" s="7"/>
      <c r="N1497" s="7">
        <v>18.75624285714286</v>
      </c>
      <c r="O1497" s="8">
        <v>14.646528571428572</v>
      </c>
      <c r="P1497" s="7"/>
      <c r="Q1497" s="7">
        <v>21.394900000000003</v>
      </c>
      <c r="R1497" s="7">
        <v>21.394900000000003</v>
      </c>
      <c r="S1497" s="8">
        <v>21.394900000000003</v>
      </c>
    </row>
    <row r="1498" spans="1:19" s="12" customFormat="1" ht="16.5" customHeight="1">
      <c r="A1498" s="3"/>
      <c r="B1498" s="13" t="s">
        <v>438</v>
      </c>
      <c r="C1498" s="7">
        <v>19.693371428571428</v>
      </c>
      <c r="D1498" s="7"/>
      <c r="E1498" s="7">
        <v>19.919217</v>
      </c>
      <c r="F1498" s="7">
        <v>20.541600428571428</v>
      </c>
      <c r="G1498" s="7">
        <v>26.396296428571425</v>
      </c>
      <c r="H1498" s="14">
        <v>19.496119</v>
      </c>
      <c r="I1498" s="7">
        <v>19.470739099181593</v>
      </c>
      <c r="J1498" s="7">
        <v>20.49292602857143</v>
      </c>
      <c r="K1498" s="7">
        <v>20.49292602857143</v>
      </c>
      <c r="L1498" s="7">
        <v>20.49292602857143</v>
      </c>
      <c r="M1498" s="7"/>
      <c r="N1498" s="7">
        <v>19.074971428571427</v>
      </c>
      <c r="O1498" s="8">
        <v>14.927185714285715</v>
      </c>
      <c r="P1498" s="7"/>
      <c r="Q1498" s="7">
        <v>19.71635714285714</v>
      </c>
      <c r="R1498" s="7">
        <v>19.71635714285714</v>
      </c>
      <c r="S1498" s="8">
        <v>19.71635714285714</v>
      </c>
    </row>
    <row r="1499" spans="1:19" s="12" customFormat="1" ht="16.5" customHeight="1">
      <c r="A1499" s="3"/>
      <c r="B1499" s="13" t="s">
        <v>439</v>
      </c>
      <c r="C1499" s="7">
        <v>20.746399999999998</v>
      </c>
      <c r="D1499" s="7"/>
      <c r="E1499" s="7">
        <v>20.944163000000003</v>
      </c>
      <c r="F1499" s="7">
        <v>21.44846485714286</v>
      </c>
      <c r="G1499" s="7">
        <v>26.676192857142855</v>
      </c>
      <c r="H1499" s="14">
        <v>20.514942</v>
      </c>
      <c r="I1499" s="7">
        <v>19.723831428697228</v>
      </c>
      <c r="J1499" s="7">
        <v>20.763831657142855</v>
      </c>
      <c r="K1499" s="7">
        <v>20.763831657142855</v>
      </c>
      <c r="L1499" s="7">
        <v>20.763831657142855</v>
      </c>
      <c r="M1499" s="7"/>
      <c r="N1499" s="7">
        <v>19.50032857142857</v>
      </c>
      <c r="O1499" s="8">
        <v>15.025314285714288</v>
      </c>
      <c r="P1499" s="7"/>
      <c r="Q1499" s="7">
        <v>19.4366</v>
      </c>
      <c r="R1499" s="7">
        <v>19.4366</v>
      </c>
      <c r="S1499" s="8">
        <v>19.4366</v>
      </c>
    </row>
    <row r="1500" spans="1:19" s="12" customFormat="1" ht="16.5" customHeight="1">
      <c r="A1500" s="3"/>
      <c r="B1500" s="13" t="s">
        <v>440</v>
      </c>
      <c r="C1500" s="7">
        <v>20.713466666666665</v>
      </c>
      <c r="D1500" s="7"/>
      <c r="E1500" s="7">
        <v>20.81432766666667</v>
      </c>
      <c r="F1500" s="7">
        <v>21.331254</v>
      </c>
      <c r="G1500" s="7">
        <v>26.640016666666668</v>
      </c>
      <c r="H1500" s="14">
        <v>20.38326066666667</v>
      </c>
      <c r="I1500" s="7">
        <v>19.677174041454908</v>
      </c>
      <c r="J1500" s="7">
        <v>20.77141106666667</v>
      </c>
      <c r="K1500" s="7">
        <v>20.77141106666667</v>
      </c>
      <c r="L1500" s="7">
        <v>20.77141106666667</v>
      </c>
      <c r="M1500" s="7"/>
      <c r="N1500" s="7">
        <v>19.55894693877551</v>
      </c>
      <c r="O1500" s="8">
        <v>14.908933333333332</v>
      </c>
      <c r="P1500" s="7"/>
      <c r="Q1500" s="7">
        <v>19.014866666666666</v>
      </c>
      <c r="R1500" s="7">
        <v>19.014866666666666</v>
      </c>
      <c r="S1500" s="8">
        <v>19.014866666666666</v>
      </c>
    </row>
    <row r="1501" spans="1:19" s="12" customFormat="1" ht="16.5" customHeight="1">
      <c r="A1501" s="3"/>
      <c r="B1501" s="4" t="s">
        <v>13</v>
      </c>
      <c r="C1501" s="11">
        <f>(C1496*7+C1497*7+C1498*7+C1499*7+C1500*3)/31</f>
        <v>19.908712903225805</v>
      </c>
      <c r="D1501" s="11"/>
      <c r="E1501" s="11">
        <f aca="true" t="shared" si="225" ref="E1501:S1501">(E1496*7+E1497*7+E1498*7+E1499*7+E1500*3)/31</f>
        <v>20.133504806451615</v>
      </c>
      <c r="F1501" s="11">
        <f t="shared" si="225"/>
        <v>20.731118032258067</v>
      </c>
      <c r="G1501" s="11">
        <f t="shared" si="225"/>
        <v>26.454789516129033</v>
      </c>
      <c r="H1501" s="11">
        <f t="shared" si="225"/>
        <v>19.70903383870968</v>
      </c>
      <c r="I1501" s="11">
        <f t="shared" si="225"/>
        <v>19.49331358118001</v>
      </c>
      <c r="J1501" s="11">
        <f t="shared" si="225"/>
        <v>20.394261967741937</v>
      </c>
      <c r="K1501" s="11">
        <f t="shared" si="225"/>
        <v>20.394261967741937</v>
      </c>
      <c r="L1501" s="11">
        <f t="shared" si="225"/>
        <v>20.394261967741937</v>
      </c>
      <c r="M1501" s="11"/>
      <c r="N1501" s="11">
        <f t="shared" si="225"/>
        <v>19.02583357472021</v>
      </c>
      <c r="O1501" s="38">
        <f t="shared" si="225"/>
        <v>14.827625806451616</v>
      </c>
      <c r="P1501" s="11"/>
      <c r="Q1501" s="11">
        <f t="shared" si="225"/>
        <v>20.338661290322577</v>
      </c>
      <c r="R1501" s="48">
        <f t="shared" si="225"/>
        <v>20.338661290322577</v>
      </c>
      <c r="S1501" s="38">
        <f t="shared" si="225"/>
        <v>20.338661290322577</v>
      </c>
    </row>
    <row r="1502" spans="1:19" s="12" customFormat="1" ht="16.5" customHeight="1">
      <c r="A1502" s="3"/>
      <c r="B1502" s="13" t="s">
        <v>233</v>
      </c>
      <c r="C1502" s="7">
        <v>20.12025</v>
      </c>
      <c r="D1502" s="7"/>
      <c r="E1502" s="7">
        <v>20.24030725</v>
      </c>
      <c r="F1502" s="7">
        <v>20.820717750000004</v>
      </c>
      <c r="G1502" s="7">
        <v>26.48244375</v>
      </c>
      <c r="H1502" s="14">
        <v>19.809695250000004</v>
      </c>
      <c r="I1502" s="7">
        <v>18.91319086151751</v>
      </c>
      <c r="J1502" s="7">
        <v>20.12331625</v>
      </c>
      <c r="K1502" s="7">
        <v>20.12331625</v>
      </c>
      <c r="L1502" s="7">
        <v>20.12331625</v>
      </c>
      <c r="M1502" s="7"/>
      <c r="N1502" s="7">
        <v>18.8223</v>
      </c>
      <c r="O1502" s="8">
        <v>14.241275</v>
      </c>
      <c r="P1502" s="7"/>
      <c r="Q1502" s="7">
        <v>18.804</v>
      </c>
      <c r="R1502" s="7">
        <v>18.804</v>
      </c>
      <c r="S1502" s="8">
        <v>18.804</v>
      </c>
    </row>
    <row r="1503" spans="1:19" s="12" customFormat="1" ht="16.5" customHeight="1">
      <c r="A1503" s="3"/>
      <c r="B1503" s="13" t="s">
        <v>14</v>
      </c>
      <c r="C1503" s="7">
        <v>20.80164285714286</v>
      </c>
      <c r="D1503" s="7"/>
      <c r="E1503" s="7">
        <v>20.868593999999998</v>
      </c>
      <c r="F1503" s="7">
        <v>21.37962642857143</v>
      </c>
      <c r="G1503" s="7">
        <v>26.654946428571428</v>
      </c>
      <c r="H1503" s="14">
        <v>20.437605</v>
      </c>
      <c r="I1503" s="7">
        <v>19.78470819634141</v>
      </c>
      <c r="J1503" s="7">
        <v>20.902191285714284</v>
      </c>
      <c r="K1503" s="7">
        <v>20.902191285714284</v>
      </c>
      <c r="L1503" s="7">
        <v>20.902191285714284</v>
      </c>
      <c r="M1503" s="7"/>
      <c r="N1503" s="7">
        <v>19.647685714285718</v>
      </c>
      <c r="O1503" s="8">
        <v>14.764857142857142</v>
      </c>
      <c r="P1503" s="7"/>
      <c r="Q1503" s="7">
        <v>18.804</v>
      </c>
      <c r="R1503" s="7">
        <v>18.804</v>
      </c>
      <c r="S1503" s="8">
        <v>18.804</v>
      </c>
    </row>
    <row r="1504" spans="1:19" s="12" customFormat="1" ht="16.5" customHeight="1">
      <c r="A1504" s="3"/>
      <c r="B1504" s="13" t="s">
        <v>389</v>
      </c>
      <c r="C1504" s="7">
        <v>20.803457142857145</v>
      </c>
      <c r="D1504" s="7"/>
      <c r="E1504" s="7">
        <v>20.789307</v>
      </c>
      <c r="F1504" s="7">
        <v>21.309573000000004</v>
      </c>
      <c r="G1504" s="7">
        <v>26.633325000000003</v>
      </c>
      <c r="H1504" s="14">
        <v>20.358903000000005</v>
      </c>
      <c r="I1504" s="7">
        <v>19.820470433206218</v>
      </c>
      <c r="J1504" s="7">
        <v>20.951679114285717</v>
      </c>
      <c r="K1504" s="7">
        <v>20.951679114285717</v>
      </c>
      <c r="L1504" s="7">
        <v>20.951679114285717</v>
      </c>
      <c r="M1504" s="7"/>
      <c r="N1504" s="7">
        <v>19.730971428571426</v>
      </c>
      <c r="O1504" s="8">
        <v>14.629114285714286</v>
      </c>
      <c r="P1504" s="7"/>
      <c r="Q1504" s="7">
        <v>18.716657142857144</v>
      </c>
      <c r="R1504" s="7">
        <v>18.716657142857144</v>
      </c>
      <c r="S1504" s="8">
        <v>18.716657142857144</v>
      </c>
    </row>
    <row r="1505" spans="1:19" s="12" customFormat="1" ht="16.5" customHeight="1">
      <c r="A1505" s="3"/>
      <c r="B1505" s="13" t="s">
        <v>234</v>
      </c>
      <c r="C1505" s="7">
        <v>21.002285714285712</v>
      </c>
      <c r="D1505" s="7"/>
      <c r="E1505" s="7">
        <v>21.008630000000004</v>
      </c>
      <c r="F1505" s="7">
        <v>21.502792714285714</v>
      </c>
      <c r="G1505" s="7">
        <v>26.69296071428571</v>
      </c>
      <c r="H1505" s="14">
        <v>20.575977</v>
      </c>
      <c r="I1505" s="7">
        <v>20.623287019439513</v>
      </c>
      <c r="J1505" s="7">
        <v>21.668815914285712</v>
      </c>
      <c r="K1505" s="7">
        <v>21.668815914285712</v>
      </c>
      <c r="L1505" s="7">
        <v>21.668815914285712</v>
      </c>
      <c r="M1505" s="7"/>
      <c r="N1505" s="7">
        <v>20.45765714285714</v>
      </c>
      <c r="O1505" s="8">
        <v>15.192800000000002</v>
      </c>
      <c r="P1505" s="7"/>
      <c r="Q1505" s="7">
        <v>18.7021</v>
      </c>
      <c r="R1505" s="7">
        <v>18.7021</v>
      </c>
      <c r="S1505" s="8">
        <v>18.7021</v>
      </c>
    </row>
    <row r="1506" spans="1:19" s="12" customFormat="1" ht="16.5" customHeight="1">
      <c r="A1506" s="3"/>
      <c r="B1506" s="13" t="s">
        <v>441</v>
      </c>
      <c r="C1506" s="7">
        <v>20.644</v>
      </c>
      <c r="D1506" s="7"/>
      <c r="E1506" s="7">
        <v>20.7347694</v>
      </c>
      <c r="F1506" s="7">
        <v>21.253796400000006</v>
      </c>
      <c r="G1506" s="7">
        <v>26.616110000000003</v>
      </c>
      <c r="H1506" s="14">
        <v>20.296240400000002</v>
      </c>
      <c r="I1506" s="7">
        <v>20.39205620010819</v>
      </c>
      <c r="J1506" s="7">
        <v>21.54047204</v>
      </c>
      <c r="K1506" s="7">
        <v>21.54047204</v>
      </c>
      <c r="L1506" s="7">
        <v>21.54047204</v>
      </c>
      <c r="M1506" s="7"/>
      <c r="N1506" s="7">
        <v>20.32528</v>
      </c>
      <c r="O1506" s="8">
        <v>15.145480000000001</v>
      </c>
      <c r="P1506" s="7"/>
      <c r="Q1506" s="7">
        <v>18.080900000000003</v>
      </c>
      <c r="R1506" s="7">
        <v>18.080900000000003</v>
      </c>
      <c r="S1506" s="8">
        <v>18.080900000000003</v>
      </c>
    </row>
    <row r="1507" spans="1:19" s="12" customFormat="1" ht="16.5" customHeight="1">
      <c r="A1507" s="3"/>
      <c r="B1507" s="4" t="s">
        <v>13</v>
      </c>
      <c r="C1507" s="11">
        <f>(C1502*4+C1503*7+C1504*7+C1505*7+C1506*5)/30</f>
        <v>20.73175666666667</v>
      </c>
      <c r="D1507" s="11"/>
      <c r="E1507" s="11">
        <f>(E1502*4+E1503*7+E1504*7+E1505*7+E1506*5)/30</f>
        <v>20.7766931</v>
      </c>
      <c r="F1507" s="11">
        <f aca="true" t="shared" si="226" ref="F1507:S1507">(F1502*4+F1503*7+F1504*7+F1505*7+F1506*5)/30</f>
        <v>21.296526600000004</v>
      </c>
      <c r="G1507" s="11">
        <f t="shared" si="226"/>
        <v>26.629298333333335</v>
      </c>
      <c r="H1507" s="11">
        <f t="shared" si="226"/>
        <v>20.34424593333334</v>
      </c>
      <c r="I1507" s="11">
        <f t="shared" si="226"/>
        <v>19.973743466317366</v>
      </c>
      <c r="J1507" s="11">
        <f t="shared" si="226"/>
        <v>21.095147646666664</v>
      </c>
      <c r="K1507" s="11">
        <f t="shared" si="226"/>
        <v>21.095147646666664</v>
      </c>
      <c r="L1507" s="11">
        <f t="shared" si="226"/>
        <v>21.095147646666664</v>
      </c>
      <c r="M1507" s="11"/>
      <c r="N1507" s="11">
        <f t="shared" si="226"/>
        <v>19.858993333333334</v>
      </c>
      <c r="O1507" s="38">
        <f t="shared" si="226"/>
        <v>14.826663333333332</v>
      </c>
      <c r="P1507" s="11"/>
      <c r="Q1507" s="11">
        <f t="shared" si="226"/>
        <v>18.639326666666665</v>
      </c>
      <c r="R1507" s="48">
        <f t="shared" si="226"/>
        <v>18.639326666666665</v>
      </c>
      <c r="S1507" s="38">
        <f t="shared" si="226"/>
        <v>18.639326666666665</v>
      </c>
    </row>
    <row r="1508" spans="1:19" s="12" customFormat="1" ht="16.5" customHeight="1">
      <c r="A1508" s="3"/>
      <c r="B1508" s="13" t="s">
        <v>238</v>
      </c>
      <c r="C1508" s="7">
        <v>20.88125</v>
      </c>
      <c r="D1508" s="7"/>
      <c r="E1508" s="7">
        <v>20.930429500000002</v>
      </c>
      <c r="F1508" s="7">
        <v>21.4348485</v>
      </c>
      <c r="G1508" s="7">
        <v>26.734212500000005</v>
      </c>
      <c r="H1508" s="14">
        <v>20.488533500000003</v>
      </c>
      <c r="I1508" s="7">
        <v>20.611678942881042</v>
      </c>
      <c r="J1508" s="7">
        <v>21.6966275</v>
      </c>
      <c r="K1508" s="7">
        <v>21.6966275</v>
      </c>
      <c r="L1508" s="7">
        <v>21.6966275</v>
      </c>
      <c r="M1508" s="7"/>
      <c r="N1508" s="7">
        <v>20.5274</v>
      </c>
      <c r="O1508" s="8">
        <v>15.18645</v>
      </c>
      <c r="P1508" s="7"/>
      <c r="Q1508" s="7">
        <v>17.9256</v>
      </c>
      <c r="R1508" s="7">
        <v>17.9256</v>
      </c>
      <c r="S1508" s="8">
        <v>17.9256</v>
      </c>
    </row>
    <row r="1509" spans="1:19" s="12" customFormat="1" ht="16.5" customHeight="1">
      <c r="A1509" s="3"/>
      <c r="B1509" s="13" t="s">
        <v>186</v>
      </c>
      <c r="C1509" s="7">
        <v>20.66847142857143</v>
      </c>
      <c r="D1509" s="7"/>
      <c r="E1509" s="7">
        <v>20.544856</v>
      </c>
      <c r="F1509" s="7">
        <v>21.096505714285716</v>
      </c>
      <c r="G1509" s="7">
        <v>26.629785714285724</v>
      </c>
      <c r="H1509" s="14">
        <v>20.108420000000002</v>
      </c>
      <c r="I1509" s="7">
        <v>20.6210179243374</v>
      </c>
      <c r="J1509" s="7">
        <v>21.74101871428572</v>
      </c>
      <c r="K1509" s="7">
        <v>21.74101871428572</v>
      </c>
      <c r="L1509" s="7">
        <v>21.74101871428572</v>
      </c>
      <c r="M1509" s="7"/>
      <c r="N1509" s="7">
        <v>20.563657142857146</v>
      </c>
      <c r="O1509" s="8">
        <v>15.857214285714289</v>
      </c>
      <c r="P1509" s="7"/>
      <c r="Q1509" s="7">
        <v>17.9256</v>
      </c>
      <c r="R1509" s="7">
        <v>17.9256</v>
      </c>
      <c r="S1509" s="8">
        <v>17.9256</v>
      </c>
    </row>
    <row r="1510" spans="1:19" s="12" customFormat="1" ht="16.5" customHeight="1">
      <c r="A1510" s="3"/>
      <c r="B1510" s="13" t="s">
        <v>187</v>
      </c>
      <c r="C1510" s="7">
        <v>21.512814285714285</v>
      </c>
      <c r="D1510" s="7"/>
      <c r="E1510" s="7">
        <v>21.370213000000003</v>
      </c>
      <c r="F1510" s="7">
        <v>21.83463557142857</v>
      </c>
      <c r="G1510" s="7">
        <v>26.857603571428577</v>
      </c>
      <c r="H1510" s="14">
        <v>20.937677</v>
      </c>
      <c r="I1510" s="7">
        <v>21.479478999270363</v>
      </c>
      <c r="J1510" s="7">
        <v>22.6943892</v>
      </c>
      <c r="K1510" s="7">
        <v>22.6943892</v>
      </c>
      <c r="L1510" s="7">
        <v>22.6943892</v>
      </c>
      <c r="M1510" s="7"/>
      <c r="N1510" s="7">
        <v>21.474614285714285</v>
      </c>
      <c r="O1510" s="8">
        <v>16.441499999999998</v>
      </c>
      <c r="P1510" s="7"/>
      <c r="Q1510" s="7">
        <v>17.869714285714284</v>
      </c>
      <c r="R1510" s="7">
        <v>17.869714285714284</v>
      </c>
      <c r="S1510" s="8">
        <v>17.869714285714284</v>
      </c>
    </row>
    <row r="1511" spans="1:19" s="12" customFormat="1" ht="16.5" customHeight="1">
      <c r="A1511" s="3"/>
      <c r="B1511" s="13" t="s">
        <v>188</v>
      </c>
      <c r="C1511" s="7">
        <v>22.111885714285716</v>
      </c>
      <c r="D1511" s="7"/>
      <c r="E1511" s="7">
        <v>22.052167</v>
      </c>
      <c r="F1511" s="7">
        <v>22.448152714285715</v>
      </c>
      <c r="G1511" s="7">
        <v>27.046960714285717</v>
      </c>
      <c r="H1511" s="14">
        <v>21.626936999999998</v>
      </c>
      <c r="I1511" s="7">
        <v>21.621322306296772</v>
      </c>
      <c r="J1511" s="7">
        <v>22.712214428571432</v>
      </c>
      <c r="K1511" s="7">
        <v>22.712214428571432</v>
      </c>
      <c r="L1511" s="7">
        <v>22.712214428571432</v>
      </c>
      <c r="M1511" s="7"/>
      <c r="N1511" s="7">
        <v>21.599442857142858</v>
      </c>
      <c r="O1511" s="8">
        <v>16.325757142857146</v>
      </c>
      <c r="P1511" s="7"/>
      <c r="Q1511" s="7">
        <v>17.8604</v>
      </c>
      <c r="R1511" s="7">
        <v>17.8604</v>
      </c>
      <c r="S1511" s="8">
        <v>17.8604</v>
      </c>
    </row>
    <row r="1512" spans="1:19" s="12" customFormat="1" ht="16.5" customHeight="1">
      <c r="A1512" s="3"/>
      <c r="B1512" s="13" t="s">
        <v>189</v>
      </c>
      <c r="C1512" s="7">
        <v>23.052557142857143</v>
      </c>
      <c r="D1512" s="7"/>
      <c r="E1512" s="7">
        <v>23.010527</v>
      </c>
      <c r="F1512" s="7">
        <v>23.30099014285714</v>
      </c>
      <c r="G1512" s="7">
        <v>27.310182142857144</v>
      </c>
      <c r="H1512" s="14">
        <v>22.585063</v>
      </c>
      <c r="I1512" s="7">
        <v>23.073230589304583</v>
      </c>
      <c r="J1512" s="7">
        <v>24.185114514285715</v>
      </c>
      <c r="K1512" s="7">
        <v>24.185114514285715</v>
      </c>
      <c r="L1512" s="7">
        <v>24.185114514285715</v>
      </c>
      <c r="M1512" s="7"/>
      <c r="N1512" s="7">
        <v>23.125957142857143</v>
      </c>
      <c r="O1512" s="8">
        <v>17.171157142857144</v>
      </c>
      <c r="P1512" s="7"/>
      <c r="Q1512" s="7">
        <v>18.739142857142856</v>
      </c>
      <c r="R1512" s="7">
        <v>18.739142857142856</v>
      </c>
      <c r="S1512" s="8">
        <v>18.739142857142856</v>
      </c>
    </row>
    <row r="1513" spans="1:19" s="12" customFormat="1" ht="16.5" customHeight="1">
      <c r="A1513" s="3"/>
      <c r="B1513" s="13" t="s">
        <v>190</v>
      </c>
      <c r="C1513" s="7">
        <v>23.2167</v>
      </c>
      <c r="D1513" s="7"/>
      <c r="E1513" s="7">
        <v>23.199469</v>
      </c>
      <c r="F1513" s="7">
        <v>23.471229</v>
      </c>
      <c r="G1513" s="7">
        <v>27.362725000000005</v>
      </c>
      <c r="H1513" s="14">
        <v>22.776319</v>
      </c>
      <c r="I1513" s="7">
        <v>23.643662908468777</v>
      </c>
      <c r="J1513" s="7">
        <v>24.8795872</v>
      </c>
      <c r="K1513" s="7">
        <v>24.8795872</v>
      </c>
      <c r="L1513" s="7">
        <v>24.8795872</v>
      </c>
      <c r="M1513" s="7"/>
      <c r="N1513" s="7">
        <v>23.7997</v>
      </c>
      <c r="O1513" s="8">
        <v>17.4438</v>
      </c>
      <c r="P1513" s="7"/>
      <c r="Q1513" s="7">
        <v>18.8856</v>
      </c>
      <c r="R1513" s="7">
        <v>18.8856</v>
      </c>
      <c r="S1513" s="8">
        <v>18.8856</v>
      </c>
    </row>
    <row r="1514" spans="1:19" s="12" customFormat="1" ht="16.5" customHeight="1">
      <c r="A1514" s="3"/>
      <c r="B1514" s="4" t="s">
        <v>13</v>
      </c>
      <c r="C1514" s="11">
        <f>(C1508*2+C1509*7+C1510*7+C1511*7+C1512*7+C1513*1)/31</f>
        <v>21.819332258064513</v>
      </c>
      <c r="D1514" s="11"/>
      <c r="E1514" s="11">
        <f aca="true" t="shared" si="227" ref="E1514:S1514">(E1508*2+E1509*7+E1510*7+E1511*7+E1512*7+E1513*1)/31</f>
        <v>21.738860290322584</v>
      </c>
      <c r="F1514" s="11">
        <f t="shared" si="227"/>
        <v>22.164610161290323</v>
      </c>
      <c r="G1514" s="11">
        <f t="shared" si="227"/>
        <v>26.959447580645165</v>
      </c>
      <c r="H1514" s="11">
        <f t="shared" si="227"/>
        <v>21.30838919354839</v>
      </c>
      <c r="I1514" s="11">
        <f t="shared" si="227"/>
        <v>21.69136675899015</v>
      </c>
      <c r="J1514" s="11">
        <f t="shared" si="227"/>
        <v>22.82587097419355</v>
      </c>
      <c r="K1514" s="11">
        <f t="shared" si="227"/>
        <v>22.82587097419355</v>
      </c>
      <c r="L1514" s="11">
        <f t="shared" si="227"/>
        <v>22.82587097419355</v>
      </c>
      <c r="M1514" s="11"/>
      <c r="N1514" s="11">
        <f t="shared" si="227"/>
        <v>21.68387741935484</v>
      </c>
      <c r="O1514" s="38">
        <f t="shared" si="227"/>
        <v>16.399551612903227</v>
      </c>
      <c r="P1514" s="11"/>
      <c r="Q1514" s="11">
        <f t="shared" si="227"/>
        <v>18.112929032258062</v>
      </c>
      <c r="R1514" s="48">
        <f t="shared" si="227"/>
        <v>18.112929032258062</v>
      </c>
      <c r="S1514" s="38">
        <f t="shared" si="227"/>
        <v>18.112929032258062</v>
      </c>
    </row>
    <row r="1515" spans="1:19" s="12" customFormat="1" ht="16.5" customHeight="1">
      <c r="A1515" s="3"/>
      <c r="B1515" s="13" t="s">
        <v>244</v>
      </c>
      <c r="C1515" s="7">
        <v>23.06065</v>
      </c>
      <c r="D1515" s="7"/>
      <c r="E1515" s="7">
        <v>23.074738333333332</v>
      </c>
      <c r="F1515" s="7">
        <v>23.35656</v>
      </c>
      <c r="G1515" s="7">
        <v>27.327333333333332</v>
      </c>
      <c r="H1515" s="14">
        <v>22.647493333333333</v>
      </c>
      <c r="I1515" s="7">
        <v>24.635713050002934</v>
      </c>
      <c r="J1515" s="7">
        <v>26.207330466666665</v>
      </c>
      <c r="K1515" s="7">
        <v>26.207330466666665</v>
      </c>
      <c r="L1515" s="7">
        <v>26.207330466666665</v>
      </c>
      <c r="M1515" s="7"/>
      <c r="N1515" s="7">
        <v>25.097716666666667</v>
      </c>
      <c r="O1515" s="8">
        <v>18.76458333333333</v>
      </c>
      <c r="P1515" s="7"/>
      <c r="Q1515" s="7">
        <v>18.8856</v>
      </c>
      <c r="R1515" s="7">
        <v>18.8856</v>
      </c>
      <c r="S1515" s="8">
        <v>18.8856</v>
      </c>
    </row>
    <row r="1516" spans="1:19" s="12" customFormat="1" ht="16.5" customHeight="1">
      <c r="A1516" s="3"/>
      <c r="B1516" s="13" t="s">
        <v>191</v>
      </c>
      <c r="C1516" s="7">
        <v>23.74538571428571</v>
      </c>
      <c r="D1516" s="7"/>
      <c r="E1516" s="7">
        <v>23.762538</v>
      </c>
      <c r="F1516" s="7">
        <v>23.96304942857143</v>
      </c>
      <c r="G1516" s="7">
        <v>27.514521428571435</v>
      </c>
      <c r="H1516" s="14">
        <v>23.328857999999997</v>
      </c>
      <c r="I1516" s="7">
        <v>25.737503742730627</v>
      </c>
      <c r="J1516" s="7">
        <v>26.731314142857144</v>
      </c>
      <c r="K1516" s="7">
        <v>26.731314142857144</v>
      </c>
      <c r="L1516" s="7">
        <v>26.731314142857144</v>
      </c>
      <c r="M1516" s="7"/>
      <c r="N1516" s="7">
        <v>25.651142857142855</v>
      </c>
      <c r="O1516" s="8">
        <v>19.291585714285713</v>
      </c>
      <c r="P1516" s="7"/>
      <c r="Q1516" s="7">
        <v>19.71805714285714</v>
      </c>
      <c r="R1516" s="7">
        <v>19.71805714285714</v>
      </c>
      <c r="S1516" s="8">
        <v>19.71805714285714</v>
      </c>
    </row>
    <row r="1517" spans="1:19" s="12" customFormat="1" ht="16.5" customHeight="1">
      <c r="A1517" s="3"/>
      <c r="B1517" s="13" t="s">
        <v>192</v>
      </c>
      <c r="C1517" s="7">
        <v>24.532342857142858</v>
      </c>
      <c r="D1517" s="7"/>
      <c r="E1517" s="7">
        <v>24.661267</v>
      </c>
      <c r="F1517" s="7">
        <v>24.758608285714285</v>
      </c>
      <c r="G1517" s="7">
        <v>27.760064285714286</v>
      </c>
      <c r="H1517" s="14">
        <v>24.222634</v>
      </c>
      <c r="I1517" s="7">
        <v>26.300899261435113</v>
      </c>
      <c r="J1517" s="7">
        <v>26.888355514285713</v>
      </c>
      <c r="K1517" s="7">
        <v>26.888355514285713</v>
      </c>
      <c r="L1517" s="7">
        <v>26.888355514285713</v>
      </c>
      <c r="M1517" s="7"/>
      <c r="N1517" s="7">
        <v>25.844442857142862</v>
      </c>
      <c r="O1517" s="8">
        <v>19.355442857142855</v>
      </c>
      <c r="P1517" s="7"/>
      <c r="Q1517" s="7">
        <v>19.856799999999996</v>
      </c>
      <c r="R1517" s="7">
        <v>19.856799999999996</v>
      </c>
      <c r="S1517" s="8">
        <v>19.856799999999996</v>
      </c>
    </row>
    <row r="1518" spans="1:19" s="12" customFormat="1" ht="16.5" customHeight="1">
      <c r="A1518" s="3"/>
      <c r="B1518" s="13" t="s">
        <v>193</v>
      </c>
      <c r="C1518" s="7">
        <v>24.368228571428574</v>
      </c>
      <c r="D1518" s="7"/>
      <c r="E1518" s="7">
        <v>24.454294</v>
      </c>
      <c r="F1518" s="7">
        <v>24.577145142857145</v>
      </c>
      <c r="G1518" s="7">
        <v>27.704057142857145</v>
      </c>
      <c r="H1518" s="14">
        <v>24.018768</v>
      </c>
      <c r="I1518" s="7">
        <v>26.386084569121063</v>
      </c>
      <c r="J1518" s="7">
        <v>26.82986285714286</v>
      </c>
      <c r="K1518" s="7">
        <v>26.82986285714286</v>
      </c>
      <c r="L1518" s="7">
        <v>26.82986285714286</v>
      </c>
      <c r="M1518" s="7"/>
      <c r="N1518" s="7">
        <v>25.76292857142857</v>
      </c>
      <c r="O1518" s="8">
        <v>19.020285714285713</v>
      </c>
      <c r="P1518" s="7"/>
      <c r="Q1518" s="7">
        <v>22.489428571428572</v>
      </c>
      <c r="R1518" s="7">
        <v>22.489428571428572</v>
      </c>
      <c r="S1518" s="8">
        <v>22.489428571428572</v>
      </c>
    </row>
    <row r="1519" spans="1:19" s="12" customFormat="1" ht="16.5" customHeight="1">
      <c r="A1519" s="3"/>
      <c r="B1519" s="13" t="s">
        <v>194</v>
      </c>
      <c r="C1519" s="7">
        <v>24.745925000000003</v>
      </c>
      <c r="D1519" s="7"/>
      <c r="E1519" s="7">
        <v>24.581030999999996</v>
      </c>
      <c r="F1519" s="7">
        <v>24.68944875</v>
      </c>
      <c r="G1519" s="7">
        <v>27.738718750000004</v>
      </c>
      <c r="H1519" s="14">
        <v>24.14493625</v>
      </c>
      <c r="I1519" s="7">
        <v>27.07257770495773</v>
      </c>
      <c r="J1519" s="7">
        <v>27.350498100000003</v>
      </c>
      <c r="K1519" s="7">
        <v>27.350498100000003</v>
      </c>
      <c r="L1519" s="7">
        <v>27.350498100000003</v>
      </c>
      <c r="M1519" s="7"/>
      <c r="N1519" s="7">
        <v>26.204674999999998</v>
      </c>
      <c r="O1519" s="8">
        <v>18.607525</v>
      </c>
      <c r="P1519" s="7"/>
      <c r="Q1519" s="7">
        <v>22.9282</v>
      </c>
      <c r="R1519" s="7">
        <v>22.9282</v>
      </c>
      <c r="S1519" s="8">
        <v>22.9282</v>
      </c>
    </row>
    <row r="1520" spans="1:19" s="12" customFormat="1" ht="16.5" customHeight="1">
      <c r="A1520" s="3"/>
      <c r="B1520" s="4" t="s">
        <v>13</v>
      </c>
      <c r="C1520" s="11">
        <f>(C1515*6+C1516*7+C1517*7+C1518*7+C1519*4)/31</f>
        <v>24.0603</v>
      </c>
      <c r="D1520" s="11"/>
      <c r="E1520" s="11">
        <f aca="true" t="shared" si="228" ref="E1520:S1520">(E1515*6+E1516*7+E1517*7+E1518*7+E1519*4)/31</f>
        <v>24.094169258064518</v>
      </c>
      <c r="F1520" s="11">
        <f t="shared" si="228"/>
        <v>24.25770241935484</v>
      </c>
      <c r="G1520" s="11">
        <f t="shared" si="228"/>
        <v>27.60546370967742</v>
      </c>
      <c r="H1520" s="11">
        <f t="shared" si="228"/>
        <v>23.65988790322581</v>
      </c>
      <c r="I1520" s="11">
        <f t="shared" si="228"/>
        <v>25.970193617188905</v>
      </c>
      <c r="J1520" s="11">
        <f t="shared" si="228"/>
        <v>26.767506541935486</v>
      </c>
      <c r="K1520" s="11">
        <f t="shared" si="228"/>
        <v>26.767506541935486</v>
      </c>
      <c r="L1520" s="11">
        <f t="shared" si="228"/>
        <v>26.767506541935486</v>
      </c>
      <c r="M1520" s="11"/>
      <c r="N1520" s="11">
        <f t="shared" si="228"/>
        <v>25.68434193548387</v>
      </c>
      <c r="O1520" s="38">
        <f t="shared" si="228"/>
        <v>19.054477419354836</v>
      </c>
      <c r="P1520" s="11"/>
      <c r="Q1520" s="11">
        <f t="shared" si="228"/>
        <v>20.628270967741937</v>
      </c>
      <c r="R1520" s="48">
        <f t="shared" si="228"/>
        <v>20.628270967741937</v>
      </c>
      <c r="S1520" s="38">
        <f t="shared" si="228"/>
        <v>20.628270967741937</v>
      </c>
    </row>
    <row r="1521" spans="1:19" s="12" customFormat="1" ht="16.5" customHeight="1">
      <c r="A1521" s="3"/>
      <c r="B1521" s="13" t="s">
        <v>27</v>
      </c>
      <c r="C1521" s="7">
        <v>24.192866666666664</v>
      </c>
      <c r="D1521" s="7"/>
      <c r="E1521" s="7">
        <v>24.071158</v>
      </c>
      <c r="F1521" s="7">
        <v>24.237543000000002</v>
      </c>
      <c r="G1521" s="7">
        <v>27.59924166666667</v>
      </c>
      <c r="H1521" s="14">
        <v>23.63723966666667</v>
      </c>
      <c r="I1521" s="7">
        <v>26.315395720680485</v>
      </c>
      <c r="J1521" s="7">
        <v>26.76962793333334</v>
      </c>
      <c r="K1521" s="7">
        <v>26.76962793333334</v>
      </c>
      <c r="L1521" s="7">
        <v>26.76962793333334</v>
      </c>
      <c r="M1521" s="7"/>
      <c r="N1521" s="7">
        <v>25.4914</v>
      </c>
      <c r="O1521" s="8">
        <v>18.324299999999997</v>
      </c>
      <c r="P1521" s="7"/>
      <c r="Q1521" s="7">
        <v>22.9282</v>
      </c>
      <c r="R1521" s="7">
        <v>22.9282</v>
      </c>
      <c r="S1521" s="8">
        <v>22.9282</v>
      </c>
    </row>
    <row r="1522" spans="1:19" s="12" customFormat="1" ht="16.5" customHeight="1">
      <c r="A1522" s="3"/>
      <c r="B1522" s="13" t="s">
        <v>195</v>
      </c>
      <c r="C1522" s="7">
        <v>24.632442857142856</v>
      </c>
      <c r="D1522" s="7"/>
      <c r="E1522" s="7">
        <v>24.40843</v>
      </c>
      <c r="F1522" s="7">
        <v>24.533092714285715</v>
      </c>
      <c r="G1522" s="7">
        <v>27.690460714285717</v>
      </c>
      <c r="H1522" s="14">
        <v>23.969277</v>
      </c>
      <c r="I1522" s="7">
        <v>27.07955130876602</v>
      </c>
      <c r="J1522" s="7">
        <v>27.416347714285713</v>
      </c>
      <c r="K1522" s="7">
        <v>27.416347714285713</v>
      </c>
      <c r="L1522" s="7">
        <v>27.416347714285713</v>
      </c>
      <c r="M1522" s="7"/>
      <c r="N1522" s="7">
        <v>26.319142857142854</v>
      </c>
      <c r="O1522" s="8">
        <v>18.783428571428573</v>
      </c>
      <c r="P1522" s="7"/>
      <c r="Q1522" s="7">
        <v>22.97405714285714</v>
      </c>
      <c r="R1522" s="7">
        <v>22.97405714285714</v>
      </c>
      <c r="S1522" s="8">
        <v>22.97405714285714</v>
      </c>
    </row>
    <row r="1523" spans="1:19" s="12" customFormat="1" ht="16.5" customHeight="1">
      <c r="A1523" s="3"/>
      <c r="B1523" s="13" t="s">
        <v>196</v>
      </c>
      <c r="C1523" s="7">
        <v>25.76972857142857</v>
      </c>
      <c r="D1523" s="7"/>
      <c r="E1523" s="7">
        <v>25.097417000000004</v>
      </c>
      <c r="F1523" s="7">
        <v>25.143555</v>
      </c>
      <c r="G1523" s="7">
        <v>27.878875</v>
      </c>
      <c r="H1523" s="14">
        <v>24.655105</v>
      </c>
      <c r="I1523" s="7">
        <v>28.377851706757554</v>
      </c>
      <c r="J1523" s="7">
        <v>28.668806657142856</v>
      </c>
      <c r="K1523" s="7">
        <v>28.668806657142856</v>
      </c>
      <c r="L1523" s="7">
        <v>28.668806657142856</v>
      </c>
      <c r="M1523" s="7"/>
      <c r="N1523" s="7">
        <v>27.744999999999997</v>
      </c>
      <c r="O1523" s="8">
        <v>19.610142857142858</v>
      </c>
      <c r="P1523" s="7"/>
      <c r="Q1523" s="7">
        <v>22.981699999999996</v>
      </c>
      <c r="R1523" s="7">
        <v>22.981699999999996</v>
      </c>
      <c r="S1523" s="8">
        <v>22.981699999999996</v>
      </c>
    </row>
    <row r="1524" spans="1:19" s="12" customFormat="1" ht="16.5" customHeight="1">
      <c r="A1524" s="3"/>
      <c r="B1524" s="13" t="s">
        <v>197</v>
      </c>
      <c r="C1524" s="7">
        <v>25.992371428571424</v>
      </c>
      <c r="D1524" s="7"/>
      <c r="E1524" s="7">
        <v>25.282706</v>
      </c>
      <c r="F1524" s="7">
        <v>25.304513571428576</v>
      </c>
      <c r="G1524" s="7">
        <v>27.928553571428576</v>
      </c>
      <c r="H1524" s="14">
        <v>24.835935</v>
      </c>
      <c r="I1524" s="7">
        <v>28.572926034246034</v>
      </c>
      <c r="J1524" s="7">
        <v>28.910992971428577</v>
      </c>
      <c r="K1524" s="7">
        <v>28.910992971428577</v>
      </c>
      <c r="L1524" s="7">
        <v>28.910992971428577</v>
      </c>
      <c r="M1524" s="7"/>
      <c r="N1524" s="7">
        <v>27.902242857142856</v>
      </c>
      <c r="O1524" s="8">
        <v>19.13325714285714</v>
      </c>
      <c r="P1524" s="7"/>
      <c r="Q1524" s="7">
        <v>25.134071428571424</v>
      </c>
      <c r="R1524" s="7">
        <v>25.134071428571424</v>
      </c>
      <c r="S1524" s="8">
        <v>25.134071428571424</v>
      </c>
    </row>
    <row r="1525" spans="1:19" s="12" customFormat="1" ht="16.5" customHeight="1">
      <c r="A1525" s="3"/>
      <c r="B1525" s="13" t="s">
        <v>198</v>
      </c>
      <c r="C1525" s="7">
        <v>24.981266666666667</v>
      </c>
      <c r="D1525" s="7"/>
      <c r="E1525" s="7">
        <v>24.496704333333337</v>
      </c>
      <c r="F1525" s="7">
        <v>24.600436500000004</v>
      </c>
      <c r="G1525" s="7">
        <v>27.711245833333333</v>
      </c>
      <c r="H1525" s="14">
        <v>24.044934833333333</v>
      </c>
      <c r="I1525" s="7">
        <v>28.493764510338565</v>
      </c>
      <c r="J1525" s="7">
        <v>29.125080999999998</v>
      </c>
      <c r="K1525" s="7">
        <v>29.125080999999998</v>
      </c>
      <c r="L1525" s="7">
        <v>29.125080999999998</v>
      </c>
      <c r="M1525" s="7"/>
      <c r="N1525" s="7">
        <v>28.105833333333337</v>
      </c>
      <c r="O1525" s="8">
        <v>19.587850000000003</v>
      </c>
      <c r="P1525" s="7"/>
      <c r="Q1525" s="7">
        <v>25.4928</v>
      </c>
      <c r="R1525" s="7">
        <v>25.4928</v>
      </c>
      <c r="S1525" s="8">
        <v>25.4928</v>
      </c>
    </row>
    <row r="1526" spans="1:19" s="12" customFormat="1" ht="16.5" customHeight="1">
      <c r="A1526" s="3"/>
      <c r="B1526" s="4" t="s">
        <v>13</v>
      </c>
      <c r="C1526" s="11">
        <f>(C1521*3+C1522*7+C1523*7+C1524*7+C1525*6)/30</f>
        <v>25.24093333333333</v>
      </c>
      <c r="D1526" s="11"/>
      <c r="E1526" s="11">
        <f aca="true" t="shared" si="229" ref="E1526:S1526">(E1521*3+E1522*7+E1523*7+E1524*7+E1525*6)/30</f>
        <v>24.757119033333336</v>
      </c>
      <c r="F1526" s="11">
        <f t="shared" si="229"/>
        <v>24.8394459</v>
      </c>
      <c r="G1526" s="11">
        <f t="shared" si="229"/>
        <v>27.785014166666667</v>
      </c>
      <c r="H1526" s="11">
        <f t="shared" si="229"/>
        <v>24.313451566666664</v>
      </c>
      <c r="I1526" s="11">
        <f t="shared" si="229"/>
        <v>27.937369252415337</v>
      </c>
      <c r="J1526" s="11">
        <f t="shared" si="229"/>
        <v>28.334413373333337</v>
      </c>
      <c r="K1526" s="11">
        <f t="shared" si="229"/>
        <v>28.334413373333337</v>
      </c>
      <c r="L1526" s="11">
        <f t="shared" si="229"/>
        <v>28.334413373333337</v>
      </c>
      <c r="M1526" s="11"/>
      <c r="N1526" s="11">
        <f t="shared" si="229"/>
        <v>27.295796666666664</v>
      </c>
      <c r="O1526" s="38">
        <f t="shared" si="229"/>
        <v>19.17292666666667</v>
      </c>
      <c r="P1526" s="11"/>
      <c r="Q1526" s="11">
        <f t="shared" si="229"/>
        <v>23.97900666666666</v>
      </c>
      <c r="R1526" s="48">
        <f t="shared" si="229"/>
        <v>23.97900666666666</v>
      </c>
      <c r="S1526" s="38">
        <f t="shared" si="229"/>
        <v>23.97900666666666</v>
      </c>
    </row>
    <row r="1527" spans="1:19" s="12" customFormat="1" ht="16.5" customHeight="1">
      <c r="A1527" s="3"/>
      <c r="B1527" s="13" t="s">
        <v>253</v>
      </c>
      <c r="C1527" s="7">
        <v>24.4564</v>
      </c>
      <c r="D1527" s="7"/>
      <c r="E1527" s="7">
        <v>24.252742</v>
      </c>
      <c r="F1527" s="7">
        <v>24.467337</v>
      </c>
      <c r="G1527" s="7">
        <v>28.209425</v>
      </c>
      <c r="H1527" s="14">
        <v>23.799107000000003</v>
      </c>
      <c r="I1527" s="7">
        <v>28.86362751006391</v>
      </c>
      <c r="J1527" s="7">
        <v>29.644478400000004</v>
      </c>
      <c r="K1527" s="7">
        <v>29.644478400000004</v>
      </c>
      <c r="L1527" s="7">
        <v>29.644478400000004</v>
      </c>
      <c r="M1527" s="7"/>
      <c r="N1527" s="7">
        <v>28.6726</v>
      </c>
      <c r="O1527" s="8">
        <v>19.7499</v>
      </c>
      <c r="P1527" s="7"/>
      <c r="Q1527" s="7">
        <v>25.4928</v>
      </c>
      <c r="R1527" s="7">
        <v>25.4928</v>
      </c>
      <c r="S1527" s="8">
        <v>25.4928</v>
      </c>
    </row>
    <row r="1528" spans="1:19" s="12" customFormat="1" ht="16.5" customHeight="1">
      <c r="A1528" s="3"/>
      <c r="B1528" s="13" t="s">
        <v>199</v>
      </c>
      <c r="C1528" s="7">
        <v>23.21192857142857</v>
      </c>
      <c r="D1528" s="7"/>
      <c r="E1528" s="7">
        <v>23.217565</v>
      </c>
      <c r="F1528" s="7">
        <v>23.542108714285717</v>
      </c>
      <c r="G1528" s="7">
        <v>27.92386071428572</v>
      </c>
      <c r="H1528" s="14">
        <v>22.759652999999997</v>
      </c>
      <c r="I1528" s="7">
        <v>27.49987765761694</v>
      </c>
      <c r="J1528" s="7">
        <v>28.446623142857142</v>
      </c>
      <c r="K1528" s="7">
        <v>28.446623142857142</v>
      </c>
      <c r="L1528" s="7">
        <v>28.446623142857142</v>
      </c>
      <c r="M1528" s="7"/>
      <c r="N1528" s="7">
        <v>27.224742857142854</v>
      </c>
      <c r="O1528" s="8">
        <v>18.311271428571427</v>
      </c>
      <c r="P1528" s="7"/>
      <c r="Q1528" s="7">
        <v>27.416571428571427</v>
      </c>
      <c r="R1528" s="7">
        <v>27.416571428571427</v>
      </c>
      <c r="S1528" s="8">
        <v>27.416571428571427</v>
      </c>
    </row>
    <row r="1529" spans="1:19" s="12" customFormat="1" ht="16.5" customHeight="1">
      <c r="A1529" s="3"/>
      <c r="B1529" s="13" t="s">
        <v>200</v>
      </c>
      <c r="C1529" s="7">
        <v>22.782285714285713</v>
      </c>
      <c r="D1529" s="7"/>
      <c r="E1529" s="7">
        <v>22.524808</v>
      </c>
      <c r="F1529" s="7">
        <v>22.92907757142857</v>
      </c>
      <c r="G1529" s="7">
        <v>27.734653571428566</v>
      </c>
      <c r="H1529" s="14">
        <v>22.070939</v>
      </c>
      <c r="I1529" s="7">
        <v>26.082779125734127</v>
      </c>
      <c r="J1529" s="7">
        <v>27.007133200000002</v>
      </c>
      <c r="K1529" s="7">
        <v>27.007133200000002</v>
      </c>
      <c r="L1529" s="7">
        <v>27.007133200000002</v>
      </c>
      <c r="M1529" s="7"/>
      <c r="N1529" s="7">
        <v>25.458099999999998</v>
      </c>
      <c r="O1529" s="8">
        <v>17.630985714285714</v>
      </c>
      <c r="P1529" s="7"/>
      <c r="Q1529" s="7">
        <v>27.7372</v>
      </c>
      <c r="R1529" s="7">
        <v>27.7372</v>
      </c>
      <c r="S1529" s="8">
        <v>27.7372</v>
      </c>
    </row>
    <row r="1530" spans="1:19" s="12" customFormat="1" ht="16.5" customHeight="1">
      <c r="A1530" s="3"/>
      <c r="B1530" s="13" t="s">
        <v>201</v>
      </c>
      <c r="C1530" s="7">
        <v>23.161514285714283</v>
      </c>
      <c r="D1530" s="7"/>
      <c r="E1530" s="7">
        <v>22.867358</v>
      </c>
      <c r="F1530" s="7">
        <v>23.236379999999997</v>
      </c>
      <c r="G1530" s="7">
        <v>27.829500000000003</v>
      </c>
      <c r="H1530" s="14">
        <v>22.416180000000004</v>
      </c>
      <c r="I1530" s="7">
        <v>26.730591470534318</v>
      </c>
      <c r="J1530" s="7">
        <v>27.604763542857143</v>
      </c>
      <c r="K1530" s="7">
        <v>27.604763542857143</v>
      </c>
      <c r="L1530" s="7">
        <v>27.604763542857143</v>
      </c>
      <c r="M1530" s="7"/>
      <c r="N1530" s="7">
        <v>26.168528571428574</v>
      </c>
      <c r="O1530" s="8">
        <v>18.086785714285718</v>
      </c>
      <c r="P1530" s="7"/>
      <c r="Q1530" s="7">
        <v>26.3038</v>
      </c>
      <c r="R1530" s="7">
        <v>26.3038</v>
      </c>
      <c r="S1530" s="8">
        <v>26.3038</v>
      </c>
    </row>
    <row r="1531" spans="1:19" s="12" customFormat="1" ht="16.5" customHeight="1">
      <c r="A1531" s="3"/>
      <c r="B1531" s="13" t="s">
        <v>202</v>
      </c>
      <c r="C1531" s="7">
        <v>23.544442857142858</v>
      </c>
      <c r="D1531" s="7"/>
      <c r="E1531" s="7">
        <v>23.069729</v>
      </c>
      <c r="F1531" s="7">
        <v>23.41713728571429</v>
      </c>
      <c r="G1531" s="7">
        <v>27.885289285714293</v>
      </c>
      <c r="H1531" s="14">
        <v>22.619253000000004</v>
      </c>
      <c r="I1531" s="7">
        <v>26.202590141281064</v>
      </c>
      <c r="J1531" s="7">
        <v>27.064047114285717</v>
      </c>
      <c r="K1531" s="7">
        <v>27.064047114285717</v>
      </c>
      <c r="L1531" s="7">
        <v>27.064047114285717</v>
      </c>
      <c r="M1531" s="7"/>
      <c r="N1531" s="7">
        <v>25.540957142857142</v>
      </c>
      <c r="O1531" s="8">
        <v>17.729828571428573</v>
      </c>
      <c r="P1531" s="7"/>
      <c r="Q1531" s="7">
        <v>26.064899999999998</v>
      </c>
      <c r="R1531" s="7">
        <v>26.064899999999998</v>
      </c>
      <c r="S1531" s="8">
        <v>26.064899999999998</v>
      </c>
    </row>
    <row r="1532" spans="1:19" s="12" customFormat="1" ht="16.5" customHeight="1">
      <c r="A1532" s="3"/>
      <c r="B1532" s="13" t="s">
        <v>203</v>
      </c>
      <c r="C1532" s="7">
        <v>23.56975</v>
      </c>
      <c r="D1532" s="7"/>
      <c r="E1532" s="7">
        <v>22.981017</v>
      </c>
      <c r="F1532" s="7">
        <v>23.339938500000002</v>
      </c>
      <c r="G1532" s="7">
        <v>27.861462500000002</v>
      </c>
      <c r="H1532" s="14">
        <v>22.5325235</v>
      </c>
      <c r="I1532" s="7">
        <v>25.842057772637496</v>
      </c>
      <c r="J1532" s="7">
        <v>26.6253306</v>
      </c>
      <c r="K1532" s="7">
        <v>26.6253306</v>
      </c>
      <c r="L1532" s="7">
        <v>26.6253306</v>
      </c>
      <c r="M1532" s="7"/>
      <c r="N1532" s="7">
        <v>25.04735</v>
      </c>
      <c r="O1532" s="8">
        <v>17.260550000000002</v>
      </c>
      <c r="P1532" s="7"/>
      <c r="Q1532" s="7">
        <v>25.96975</v>
      </c>
      <c r="R1532" s="7">
        <v>25.96975</v>
      </c>
      <c r="S1532" s="8">
        <v>25.96975</v>
      </c>
    </row>
    <row r="1533" spans="1:19" s="12" customFormat="1" ht="16.5" customHeight="1">
      <c r="A1533" s="3"/>
      <c r="B1533" s="4" t="s">
        <v>13</v>
      </c>
      <c r="C1533" s="11">
        <f>(C1527*1+C1528*7+C1529*7+C1530*7+C1531*7+C1532*2)/31</f>
        <v>23.24184193548387</v>
      </c>
      <c r="D1533" s="11"/>
      <c r="E1533" s="11">
        <f aca="true" t="shared" si="230" ref="E1533:S1533">(E1527*1+E1528*7+E1529*7+E1530*7+E1531*7+E1532*2)/31</f>
        <v>22.966806322580645</v>
      </c>
      <c r="F1533" s="11">
        <f t="shared" si="230"/>
        <v>23.323230290322588</v>
      </c>
      <c r="G1533" s="11">
        <f t="shared" si="230"/>
        <v>27.856305645161296</v>
      </c>
      <c r="H1533" s="11">
        <f t="shared" si="230"/>
        <v>22.5137525483871</v>
      </c>
      <c r="I1533" s="11">
        <f t="shared" si="230"/>
        <v>26.650277800693676</v>
      </c>
      <c r="J1533" s="11">
        <f t="shared" si="230"/>
        <v>27.540422858064513</v>
      </c>
      <c r="K1533" s="11">
        <f t="shared" si="230"/>
        <v>27.540422858064513</v>
      </c>
      <c r="L1533" s="11">
        <f t="shared" si="230"/>
        <v>27.540422858064513</v>
      </c>
      <c r="M1533" s="11"/>
      <c r="N1533" s="11">
        <f t="shared" si="230"/>
        <v>26.11334193548387</v>
      </c>
      <c r="O1533" s="38">
        <f t="shared" si="230"/>
        <v>17.9542935483871</v>
      </c>
      <c r="P1533" s="11"/>
      <c r="Q1533" s="11">
        <f>(Q1527*1+Q1528*7+Q1529*7+Q1530*7+Q1531*7+Q1532*2)/31</f>
        <v>26.77708387096774</v>
      </c>
      <c r="R1533" s="48">
        <f t="shared" si="230"/>
        <v>26.77708387096774</v>
      </c>
      <c r="S1533" s="38">
        <f t="shared" si="230"/>
        <v>26.77708387096774</v>
      </c>
    </row>
    <row r="1534" spans="1:19" s="12" customFormat="1" ht="16.5" customHeight="1">
      <c r="A1534" s="3"/>
      <c r="B1534" s="13" t="s">
        <v>89</v>
      </c>
      <c r="C1534" s="7">
        <v>22.972939999999998</v>
      </c>
      <c r="D1534" s="7"/>
      <c r="E1534" s="7">
        <v>22.674478600000004</v>
      </c>
      <c r="F1534" s="7">
        <v>23.129879600000002</v>
      </c>
      <c r="G1534" s="7">
        <v>28.18379</v>
      </c>
      <c r="H1534" s="14">
        <v>22.2273956</v>
      </c>
      <c r="I1534" s="7">
        <v>25.427077003560107</v>
      </c>
      <c r="J1534" s="7">
        <v>26.19994964</v>
      </c>
      <c r="K1534" s="7">
        <v>26.19994964</v>
      </c>
      <c r="L1534" s="7">
        <v>26.19994964</v>
      </c>
      <c r="M1534" s="7"/>
      <c r="N1534" s="7">
        <v>24.58864</v>
      </c>
      <c r="O1534" s="8">
        <v>16.85774</v>
      </c>
      <c r="P1534" s="7"/>
      <c r="Q1534" s="7">
        <v>25.874599999999997</v>
      </c>
      <c r="R1534" s="7">
        <v>25.874599999999997</v>
      </c>
      <c r="S1534" s="8">
        <v>25.874599999999997</v>
      </c>
    </row>
    <row r="1535" spans="1:19" s="12" customFormat="1" ht="16.5" customHeight="1">
      <c r="A1535" s="3"/>
      <c r="B1535" s="13" t="s">
        <v>204</v>
      </c>
      <c r="C1535" s="7">
        <v>22.602471428571427</v>
      </c>
      <c r="D1535" s="7"/>
      <c r="E1535" s="7">
        <v>22.289910000000003</v>
      </c>
      <c r="F1535" s="7">
        <v>22.792385</v>
      </c>
      <c r="G1535" s="7">
        <v>28.079625000000004</v>
      </c>
      <c r="H1535" s="14">
        <v>21.848235</v>
      </c>
      <c r="I1535" s="7">
        <v>24.33396207396432</v>
      </c>
      <c r="J1535" s="7">
        <v>24.812018942857147</v>
      </c>
      <c r="K1535" s="7">
        <v>24.812018942857147</v>
      </c>
      <c r="L1535" s="7">
        <v>24.812018942857147</v>
      </c>
      <c r="M1535" s="7"/>
      <c r="N1535" s="7">
        <v>23.24077142857143</v>
      </c>
      <c r="O1535" s="8">
        <v>16.239085714285714</v>
      </c>
      <c r="P1535" s="7"/>
      <c r="Q1535" s="7">
        <v>25.874599999999994</v>
      </c>
      <c r="R1535" s="7">
        <v>25.874599999999994</v>
      </c>
      <c r="S1535" s="8">
        <v>25.874599999999994</v>
      </c>
    </row>
    <row r="1536" spans="1:19" s="12" customFormat="1" ht="16.5" customHeight="1">
      <c r="A1536" s="3"/>
      <c r="B1536" s="13" t="s">
        <v>205</v>
      </c>
      <c r="C1536" s="7">
        <v>22.499485714285715</v>
      </c>
      <c r="D1536" s="7"/>
      <c r="E1536" s="7">
        <v>22.005028000000003</v>
      </c>
      <c r="F1536" s="7">
        <v>22.537755714285716</v>
      </c>
      <c r="G1536" s="7">
        <v>28.001035714285713</v>
      </c>
      <c r="H1536" s="14">
        <v>21.562170000000002</v>
      </c>
      <c r="I1536" s="7">
        <v>23.676205557863863</v>
      </c>
      <c r="J1536" s="7">
        <v>24.105557942857143</v>
      </c>
      <c r="K1536" s="7">
        <v>24.105557942857143</v>
      </c>
      <c r="L1536" s="7">
        <v>24.105557942857143</v>
      </c>
      <c r="M1536" s="7"/>
      <c r="N1536" s="7">
        <v>22.655714285714282</v>
      </c>
      <c r="O1536" s="8">
        <v>16.216742857142858</v>
      </c>
      <c r="P1536" s="7"/>
      <c r="Q1536" s="7">
        <v>26.551571428571428</v>
      </c>
      <c r="R1536" s="7">
        <v>26.551571428571428</v>
      </c>
      <c r="S1536" s="8">
        <v>26.551571428571428</v>
      </c>
    </row>
    <row r="1537" spans="1:19" s="12" customFormat="1" ht="16.5" customHeight="1">
      <c r="A1537" s="3"/>
      <c r="B1537" s="13" t="s">
        <v>206</v>
      </c>
      <c r="C1537" s="7">
        <v>21.828542857142857</v>
      </c>
      <c r="D1537" s="7"/>
      <c r="E1537" s="7">
        <v>21.540069999999996</v>
      </c>
      <c r="F1537" s="7">
        <v>22.129087571428574</v>
      </c>
      <c r="G1537" s="7">
        <v>27.874903571428575</v>
      </c>
      <c r="H1537" s="14">
        <v>21.103049000000002</v>
      </c>
      <c r="I1537" s="7">
        <v>23.786174548508026</v>
      </c>
      <c r="J1537" s="7">
        <v>24.152376171428575</v>
      </c>
      <c r="K1537" s="7">
        <v>24.152376171428575</v>
      </c>
      <c r="L1537" s="7">
        <v>24.152376171428575</v>
      </c>
      <c r="M1537" s="7"/>
      <c r="N1537" s="7">
        <v>22.617014285714284</v>
      </c>
      <c r="O1537" s="8">
        <v>16.428</v>
      </c>
      <c r="P1537" s="7"/>
      <c r="Q1537" s="7">
        <v>26.6644</v>
      </c>
      <c r="R1537" s="7">
        <v>26.6644</v>
      </c>
      <c r="S1537" s="8">
        <v>26.6644</v>
      </c>
    </row>
    <row r="1538" spans="1:19" s="12" customFormat="1" ht="16.5" customHeight="1">
      <c r="A1538" s="3"/>
      <c r="B1538" s="13" t="s">
        <v>207</v>
      </c>
      <c r="C1538" s="7">
        <v>21.844925</v>
      </c>
      <c r="D1538" s="7"/>
      <c r="E1538" s="7">
        <v>21.698244250000002</v>
      </c>
      <c r="F1538" s="7">
        <v>22.271413250000002</v>
      </c>
      <c r="G1538" s="7">
        <v>27.91883125</v>
      </c>
      <c r="H1538" s="14">
        <v>21.26294575</v>
      </c>
      <c r="I1538" s="7">
        <v>23.802936296058093</v>
      </c>
      <c r="J1538" s="7">
        <v>23.9672065</v>
      </c>
      <c r="K1538" s="7">
        <v>23.9672065</v>
      </c>
      <c r="L1538" s="7">
        <v>23.9672065</v>
      </c>
      <c r="M1538" s="7"/>
      <c r="N1538" s="7">
        <v>22.396475</v>
      </c>
      <c r="O1538" s="8">
        <v>16.3368</v>
      </c>
      <c r="P1538" s="7"/>
      <c r="Q1538" s="7">
        <v>26.834425000000003</v>
      </c>
      <c r="R1538" s="7">
        <v>26.834425000000003</v>
      </c>
      <c r="S1538" s="8">
        <v>26.834425000000003</v>
      </c>
    </row>
    <row r="1539" spans="1:19" s="12" customFormat="1" ht="16.5" customHeight="1">
      <c r="A1539" s="3"/>
      <c r="B1539" s="4" t="s">
        <v>13</v>
      </c>
      <c r="C1539" s="11">
        <f>(C1534*5+C1535*7+C1536*7+C1537*7+C1538*4)/30</f>
        <v>22.358596666666664</v>
      </c>
      <c r="D1539" s="11"/>
      <c r="E1539" s="11">
        <f>(E1534*5+E1535*7+E1536*7+E1537*7+E1538*4)/30</f>
        <v>22.033680866666668</v>
      </c>
      <c r="F1539" s="11">
        <f aca="true" t="shared" si="231" ref="F1539:S1539">(F1534*5+F1535*7+F1536*7+F1537*7+F1538*4)/30</f>
        <v>22.5649883</v>
      </c>
      <c r="G1539" s="11">
        <f t="shared" si="231"/>
        <v>28.009440833333333</v>
      </c>
      <c r="H1539" s="11">
        <f t="shared" si="231"/>
        <v>21.592764633333335</v>
      </c>
      <c r="I1539" s="11">
        <f t="shared" si="231"/>
        <v>24.16405084881288</v>
      </c>
      <c r="J1539" s="11">
        <f t="shared" si="231"/>
        <v>24.611941520000002</v>
      </c>
      <c r="K1539" s="11">
        <f t="shared" si="231"/>
        <v>24.611941520000002</v>
      </c>
      <c r="L1539" s="11">
        <f t="shared" si="231"/>
        <v>24.611941520000002</v>
      </c>
      <c r="M1539" s="11"/>
      <c r="N1539" s="11">
        <f t="shared" si="231"/>
        <v>23.070786666666667</v>
      </c>
      <c r="O1539" s="38">
        <f t="shared" si="231"/>
        <v>16.39409</v>
      </c>
      <c r="P1539" s="11"/>
      <c r="Q1539" s="11">
        <f t="shared" si="231"/>
        <v>26.344823333333334</v>
      </c>
      <c r="R1539" s="48">
        <f t="shared" si="231"/>
        <v>26.344823333333334</v>
      </c>
      <c r="S1539" s="38">
        <f t="shared" si="231"/>
        <v>26.344823333333334</v>
      </c>
    </row>
    <row r="1540" spans="1:19" s="12" customFormat="1" ht="16.5" customHeight="1">
      <c r="A1540" s="3"/>
      <c r="B1540" s="13" t="s">
        <v>40</v>
      </c>
      <c r="C1540" s="7">
        <v>21.976533333333332</v>
      </c>
      <c r="D1540" s="7"/>
      <c r="E1540" s="7">
        <v>21.958191666666668</v>
      </c>
      <c r="F1540" s="7">
        <v>22.486649</v>
      </c>
      <c r="G1540" s="7">
        <v>27.881558333333334</v>
      </c>
      <c r="H1540" s="14">
        <v>21.523272333333335</v>
      </c>
      <c r="I1540" s="7">
        <v>24.045570659060033</v>
      </c>
      <c r="J1540" s="7">
        <v>24.095647066666668</v>
      </c>
      <c r="K1540" s="7">
        <v>24.095647066666668</v>
      </c>
      <c r="L1540" s="7">
        <v>24.095647066666668</v>
      </c>
      <c r="M1540" s="7"/>
      <c r="N1540" s="7">
        <v>22.52643333333333</v>
      </c>
      <c r="O1540" s="8">
        <v>16.776</v>
      </c>
      <c r="P1540" s="7"/>
      <c r="Q1540" s="7">
        <v>26.891100000000005</v>
      </c>
      <c r="R1540" s="7">
        <v>26.891100000000005</v>
      </c>
      <c r="S1540" s="8">
        <v>26.891100000000005</v>
      </c>
    </row>
    <row r="1541" spans="1:19" s="12" customFormat="1" ht="16.5" customHeight="1">
      <c r="A1541" s="3"/>
      <c r="B1541" s="13" t="s">
        <v>208</v>
      </c>
      <c r="C1541" s="7">
        <v>20.608228571428576</v>
      </c>
      <c r="D1541" s="7"/>
      <c r="E1541" s="7">
        <v>20.936344</v>
      </c>
      <c r="F1541" s="7">
        <v>21.576193571428572</v>
      </c>
      <c r="G1541" s="7">
        <v>27.600553571428577</v>
      </c>
      <c r="H1541" s="14">
        <v>20.500415</v>
      </c>
      <c r="I1541" s="7">
        <v>23.173110152791658</v>
      </c>
      <c r="J1541" s="7">
        <v>22.957698628571432</v>
      </c>
      <c r="K1541" s="7">
        <v>22.957698628571432</v>
      </c>
      <c r="L1541" s="7">
        <v>22.957698628571432</v>
      </c>
      <c r="M1541" s="7"/>
      <c r="N1541" s="7">
        <v>21.410742857142854</v>
      </c>
      <c r="O1541" s="8">
        <v>15.562828571428572</v>
      </c>
      <c r="P1541" s="7"/>
      <c r="Q1541" s="7">
        <v>26.891099999999998</v>
      </c>
      <c r="R1541" s="7">
        <v>26.891099999999998</v>
      </c>
      <c r="S1541" s="8">
        <v>26.891099999999998</v>
      </c>
    </row>
    <row r="1542" spans="1:19" s="12" customFormat="1" ht="16.5" customHeight="1">
      <c r="A1542" s="3"/>
      <c r="B1542" s="13" t="s">
        <v>209</v>
      </c>
      <c r="C1542" s="7">
        <v>20.228985714285717</v>
      </c>
      <c r="D1542" s="7"/>
      <c r="E1542" s="7">
        <v>20.666970999999997</v>
      </c>
      <c r="F1542" s="7">
        <v>21.334755714285713</v>
      </c>
      <c r="G1542" s="7">
        <v>27.52603571428572</v>
      </c>
      <c r="H1542" s="14">
        <v>20.22917</v>
      </c>
      <c r="I1542" s="7">
        <v>22.44856617478129</v>
      </c>
      <c r="J1542" s="7">
        <v>22.49994422857143</v>
      </c>
      <c r="K1542" s="7">
        <v>22.49994422857143</v>
      </c>
      <c r="L1542" s="7">
        <v>22.957698628571432</v>
      </c>
      <c r="M1542" s="7"/>
      <c r="N1542" s="7">
        <v>21.042457142857142</v>
      </c>
      <c r="O1542" s="8">
        <v>15.101171428571428</v>
      </c>
      <c r="P1542" s="7"/>
      <c r="Q1542" s="7">
        <v>26.22652857142857</v>
      </c>
      <c r="R1542" s="7">
        <v>26.22652857142857</v>
      </c>
      <c r="S1542" s="8">
        <v>26.22652857142857</v>
      </c>
    </row>
    <row r="1543" spans="1:19" s="12" customFormat="1" ht="16.5" customHeight="1">
      <c r="A1543" s="3"/>
      <c r="B1543" s="13" t="s">
        <v>210</v>
      </c>
      <c r="C1543" s="7">
        <v>20.820057142857145</v>
      </c>
      <c r="D1543" s="7"/>
      <c r="E1543" s="7">
        <v>21.224631999999996</v>
      </c>
      <c r="F1543" s="7">
        <v>21.835335714285716</v>
      </c>
      <c r="G1543" s="7">
        <v>27.680535714285714</v>
      </c>
      <c r="H1543" s="14">
        <v>20.79155</v>
      </c>
      <c r="I1543" s="7">
        <v>22.993091745018365</v>
      </c>
      <c r="J1543" s="7">
        <v>23.05521722857143</v>
      </c>
      <c r="K1543" s="7">
        <v>23.05521722857143</v>
      </c>
      <c r="L1543" s="7">
        <v>22.957698628571432</v>
      </c>
      <c r="M1543" s="7"/>
      <c r="N1543" s="7">
        <v>21.60024285714286</v>
      </c>
      <c r="O1543" s="8">
        <v>15.397714285714285</v>
      </c>
      <c r="P1543" s="7"/>
      <c r="Q1543" s="7">
        <v>25.9607</v>
      </c>
      <c r="R1543" s="7">
        <v>25.9607</v>
      </c>
      <c r="S1543" s="8">
        <v>25.9607</v>
      </c>
    </row>
    <row r="1544" spans="1:19" s="12" customFormat="1" ht="16.5" customHeight="1">
      <c r="A1544" s="3"/>
      <c r="B1544" s="13" t="s">
        <v>211</v>
      </c>
      <c r="C1544" s="7">
        <v>20.497942857142856</v>
      </c>
      <c r="D1544" s="7"/>
      <c r="E1544" s="7">
        <v>20.941531</v>
      </c>
      <c r="F1544" s="7">
        <v>21.588355142857147</v>
      </c>
      <c r="G1544" s="7">
        <v>27.604307142857145</v>
      </c>
      <c r="H1544" s="14">
        <v>20.514078</v>
      </c>
      <c r="I1544" s="7">
        <v>22.320123289836893</v>
      </c>
      <c r="J1544" s="7">
        <v>22.811792342857142</v>
      </c>
      <c r="K1544" s="7">
        <v>22.811792342857142</v>
      </c>
      <c r="L1544" s="7">
        <v>22.811792342857142</v>
      </c>
      <c r="M1544" s="7"/>
      <c r="N1544" s="7">
        <v>21.33407142857143</v>
      </c>
      <c r="O1544" s="8">
        <v>15.434314285714285</v>
      </c>
      <c r="P1544" s="7"/>
      <c r="Q1544" s="7">
        <v>25.748814285714285</v>
      </c>
      <c r="R1544" s="7">
        <v>25.748814285714285</v>
      </c>
      <c r="S1544" s="8">
        <v>25.748814285714285</v>
      </c>
    </row>
    <row r="1545" spans="1:19" s="12" customFormat="1" ht="16.5" customHeight="1">
      <c r="A1545" s="3"/>
      <c r="B1545" s="4" t="s">
        <v>13</v>
      </c>
      <c r="C1545" s="11">
        <f>(C1540*3+C1541*7+C1542*7+C1543*7+C1544*7)/31</f>
        <v>20.67793870967742</v>
      </c>
      <c r="D1545" s="11"/>
      <c r="E1545" s="11">
        <f aca="true" t="shared" si="232" ref="E1545:S1545">(E1540*3+E1541*7+E1542*7+E1543*7+E1544*7)/31</f>
        <v>21.040674870967745</v>
      </c>
      <c r="F1545" s="11">
        <f t="shared" si="232"/>
        <v>21.671046064516126</v>
      </c>
      <c r="G1545" s="11">
        <f t="shared" si="232"/>
        <v>27.629829032258066</v>
      </c>
      <c r="H1545" s="11">
        <f t="shared" si="232"/>
        <v>20.60697767741935</v>
      </c>
      <c r="I1545" s="11">
        <f t="shared" si="232"/>
        <v>22.860675855296048</v>
      </c>
      <c r="J1545" s="11">
        <f t="shared" si="232"/>
        <v>22.953532522580648</v>
      </c>
      <c r="K1545" s="11">
        <f t="shared" si="232"/>
        <v>22.953532522580648</v>
      </c>
      <c r="L1545" s="11">
        <f t="shared" si="232"/>
        <v>23.03487609032258</v>
      </c>
      <c r="M1545" s="11"/>
      <c r="N1545" s="11">
        <f t="shared" si="232"/>
        <v>21.46102903225806</v>
      </c>
      <c r="O1545" s="38">
        <f t="shared" si="232"/>
        <v>15.509683870967743</v>
      </c>
      <c r="P1545" s="11"/>
      <c r="Q1545" s="11">
        <f t="shared" si="232"/>
        <v>26.27300967741936</v>
      </c>
      <c r="R1545" s="48">
        <f t="shared" si="232"/>
        <v>26.27300967741936</v>
      </c>
      <c r="S1545" s="38">
        <f t="shared" si="232"/>
        <v>26.27300967741936</v>
      </c>
    </row>
    <row r="1546" spans="1:19" s="12" customFormat="1" ht="16.5" customHeight="1">
      <c r="A1546" s="20"/>
      <c r="B1546" s="19">
        <v>2024</v>
      </c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39"/>
      <c r="P1546" s="14"/>
      <c r="S1546" s="15"/>
    </row>
    <row r="1547" spans="1:19" s="12" customFormat="1" ht="16.5" customHeight="1">
      <c r="A1547" s="3"/>
      <c r="B1547" s="13" t="s">
        <v>212</v>
      </c>
      <c r="C1547" s="7">
        <v>20.26547142857143</v>
      </c>
      <c r="D1547" s="7"/>
      <c r="E1547" s="7">
        <v>20.837253999999998</v>
      </c>
      <c r="F1547" s="7">
        <v>21.585369714285715</v>
      </c>
      <c r="G1547" s="7">
        <v>28.163385714285713</v>
      </c>
      <c r="H1547" s="14">
        <v>20.410724</v>
      </c>
      <c r="I1547" s="7">
        <v>21.879873485211448</v>
      </c>
      <c r="J1547" s="7">
        <v>22.50562797142857</v>
      </c>
      <c r="K1547" s="7">
        <v>22.50562797142857</v>
      </c>
      <c r="L1547" s="7">
        <v>22.50562797142857</v>
      </c>
      <c r="M1547" s="7"/>
      <c r="N1547" s="7">
        <v>20.954271428571428</v>
      </c>
      <c r="O1547" s="8">
        <v>15.413257142857143</v>
      </c>
      <c r="P1547" s="7"/>
      <c r="Q1547" s="7">
        <v>25.713500000000003</v>
      </c>
      <c r="R1547" s="7">
        <v>25.713500000000003</v>
      </c>
      <c r="S1547" s="8">
        <v>25.713500000000003</v>
      </c>
    </row>
    <row r="1548" spans="1:19" s="12" customFormat="1" ht="16.5" customHeight="1">
      <c r="A1548" s="3"/>
      <c r="B1548" s="13" t="s">
        <v>213</v>
      </c>
      <c r="C1548" s="7">
        <v>20.576557142857144</v>
      </c>
      <c r="D1548" s="7"/>
      <c r="E1548" s="7">
        <v>20.909716</v>
      </c>
      <c r="F1548" s="7">
        <v>21.64379385714286</v>
      </c>
      <c r="G1548" s="7">
        <v>28.181417857142858</v>
      </c>
      <c r="H1548" s="14">
        <v>20.476361</v>
      </c>
      <c r="I1548" s="7">
        <v>22.567853562433957</v>
      </c>
      <c r="J1548" s="7">
        <v>23.08936854285714</v>
      </c>
      <c r="K1548" s="7">
        <v>23.08936854285714</v>
      </c>
      <c r="L1548" s="7">
        <v>23.08936854285714</v>
      </c>
      <c r="M1548" s="7"/>
      <c r="N1548" s="7">
        <v>21.683999999999997</v>
      </c>
      <c r="O1548" s="8">
        <v>15.503199999999998</v>
      </c>
      <c r="P1548" s="7"/>
      <c r="Q1548" s="7">
        <v>25.902242857142856</v>
      </c>
      <c r="R1548" s="7">
        <v>25.902242857142856</v>
      </c>
      <c r="S1548" s="8">
        <v>25.902242857142856</v>
      </c>
    </row>
    <row r="1549" spans="1:19" s="12" customFormat="1" ht="16.5" customHeight="1">
      <c r="A1549" s="3"/>
      <c r="B1549" s="13" t="s">
        <v>214</v>
      </c>
      <c r="C1549" s="7">
        <v>21.51102857142857</v>
      </c>
      <c r="D1549" s="7"/>
      <c r="E1549" s="7">
        <v>21.533157</v>
      </c>
      <c r="F1549" s="7">
        <v>22.19426985714286</v>
      </c>
      <c r="G1549" s="7">
        <v>28.351317857142863</v>
      </c>
      <c r="H1549" s="14">
        <v>21.094797</v>
      </c>
      <c r="I1549" s="7">
        <v>22.946993100087344</v>
      </c>
      <c r="J1549" s="7">
        <v>23.786728400000005</v>
      </c>
      <c r="K1549" s="7">
        <v>23.786728400000005</v>
      </c>
      <c r="L1549" s="7">
        <v>23.786728400000005</v>
      </c>
      <c r="M1549" s="7"/>
      <c r="N1549" s="7">
        <v>22.412985714285714</v>
      </c>
      <c r="O1549" s="8">
        <v>15.385042857142855</v>
      </c>
      <c r="P1549" s="7"/>
      <c r="Q1549" s="7">
        <v>25.933699999999995</v>
      </c>
      <c r="R1549" s="7">
        <v>25.933699999999995</v>
      </c>
      <c r="S1549" s="8">
        <v>25.933699999999995</v>
      </c>
    </row>
    <row r="1550" spans="1:19" s="12" customFormat="1" ht="16.5" customHeight="1">
      <c r="A1550" s="3"/>
      <c r="B1550" s="13" t="s">
        <v>215</v>
      </c>
      <c r="C1550" s="7">
        <v>22.891114285714284</v>
      </c>
      <c r="D1550" s="7"/>
      <c r="E1550" s="7">
        <v>22.711437999999998</v>
      </c>
      <c r="F1550" s="7">
        <v>23.23926242857143</v>
      </c>
      <c r="G1550" s="7">
        <v>28.67384642857143</v>
      </c>
      <c r="H1550" s="14">
        <v>22.268801000000003</v>
      </c>
      <c r="I1550" s="7">
        <v>23.17969069247759</v>
      </c>
      <c r="J1550" s="7">
        <v>24.24644237142857</v>
      </c>
      <c r="K1550" s="7">
        <v>24.24644237142857</v>
      </c>
      <c r="L1550" s="7">
        <v>24.24644237142857</v>
      </c>
      <c r="M1550" s="7"/>
      <c r="N1550" s="7">
        <v>22.909642857142853</v>
      </c>
      <c r="O1550" s="8">
        <v>15.645328571428573</v>
      </c>
      <c r="P1550" s="7"/>
      <c r="Q1550" s="7">
        <v>24.158128571428573</v>
      </c>
      <c r="R1550" s="7">
        <v>24.158128571428573</v>
      </c>
      <c r="S1550" s="8">
        <v>24.158128571428573</v>
      </c>
    </row>
    <row r="1551" spans="1:19" s="12" customFormat="1" ht="16.5" customHeight="1">
      <c r="A1551" s="3"/>
      <c r="B1551" s="13" t="s">
        <v>220</v>
      </c>
      <c r="C1551" s="7">
        <v>23.50293333333333</v>
      </c>
      <c r="D1551" s="7"/>
      <c r="E1551" s="7">
        <v>23.71055733333333</v>
      </c>
      <c r="F1551" s="7">
        <v>24.130058000000002</v>
      </c>
      <c r="G1551" s="7">
        <v>28.948783333333335</v>
      </c>
      <c r="H1551" s="14">
        <v>23.26957133333333</v>
      </c>
      <c r="I1551" s="7">
        <v>23.632240879396665</v>
      </c>
      <c r="J1551" s="7">
        <v>24.9474788</v>
      </c>
      <c r="K1551" s="7">
        <v>24.9474788</v>
      </c>
      <c r="L1551" s="7">
        <v>24.9474788</v>
      </c>
      <c r="M1551" s="7"/>
      <c r="N1551" s="7">
        <v>23.609266666666667</v>
      </c>
      <c r="O1551" s="8">
        <v>16.32296666666667</v>
      </c>
      <c r="P1551" s="7"/>
      <c r="Q1551" s="7">
        <v>23.8622</v>
      </c>
      <c r="R1551" s="7">
        <v>23.8622</v>
      </c>
      <c r="S1551" s="8">
        <v>23.8622</v>
      </c>
    </row>
    <row r="1552" spans="1:19" s="12" customFormat="1" ht="16.5" customHeight="1">
      <c r="A1552" s="3"/>
      <c r="B1552" s="4" t="s">
        <v>13</v>
      </c>
      <c r="C1552" s="11">
        <f>(C1547*7+C1548*7+C1549*7+C1550*7+C1551*3)/31</f>
        <v>21.52316129032258</v>
      </c>
      <c r="D1552" s="11"/>
      <c r="E1552" s="11">
        <f aca="true" t="shared" si="233" ref="E1552:S1552">(E1547*7+E1548*7+E1549*7+E1550*7+E1551*3)/31</f>
        <v>21.71202022580645</v>
      </c>
      <c r="F1552" s="11">
        <f t="shared" si="233"/>
        <v>22.35577564516129</v>
      </c>
      <c r="G1552" s="11">
        <f t="shared" si="233"/>
        <v>28.40116532258065</v>
      </c>
      <c r="H1552" s="11">
        <f t="shared" si="233"/>
        <v>21.27624177419355</v>
      </c>
      <c r="I1552" s="11">
        <f>(I1547*7+I1548*7+I1549*7+I1550*7+I1551*3)/31</f>
        <v>22.739277371602014</v>
      </c>
      <c r="J1552" s="11">
        <f t="shared" si="233"/>
        <v>23.55611636774194</v>
      </c>
      <c r="K1552" s="11">
        <f t="shared" si="233"/>
        <v>23.55611636774194</v>
      </c>
      <c r="L1552" s="11">
        <f t="shared" si="233"/>
        <v>23.55611636774194</v>
      </c>
      <c r="M1552" s="11"/>
      <c r="N1552" s="11">
        <f t="shared" si="233"/>
        <v>22.146906451612903</v>
      </c>
      <c r="O1552" s="38">
        <f t="shared" si="233"/>
        <v>15.567635483870967</v>
      </c>
      <c r="P1552" s="11"/>
      <c r="Q1552" s="11">
        <f t="shared" si="233"/>
        <v>25.275470967741935</v>
      </c>
      <c r="R1552" s="48">
        <f t="shared" si="233"/>
        <v>25.275470967741935</v>
      </c>
      <c r="S1552" s="38">
        <f t="shared" si="233"/>
        <v>25.275470967741935</v>
      </c>
    </row>
    <row r="1553" spans="1:19" s="12" customFormat="1" ht="16.5" customHeight="1">
      <c r="A1553" s="3"/>
      <c r="B1553" s="13" t="s">
        <v>221</v>
      </c>
      <c r="C1553" s="7">
        <v>22.799300000000002</v>
      </c>
      <c r="D1553" s="7"/>
      <c r="E1553" s="7">
        <v>23.226642000000002</v>
      </c>
      <c r="F1553" s="7">
        <v>23.7245085</v>
      </c>
      <c r="G1553" s="7">
        <v>28.9757125</v>
      </c>
      <c r="H1553" s="14">
        <v>22.7867935</v>
      </c>
      <c r="I1553" s="7">
        <v>23.50740950908582</v>
      </c>
      <c r="J1553" s="7">
        <v>24.845696150000002</v>
      </c>
      <c r="K1553" s="7">
        <v>24.845696150000002</v>
      </c>
      <c r="L1553" s="7">
        <v>24.845696150000002</v>
      </c>
      <c r="M1553" s="7"/>
      <c r="N1553" s="7">
        <v>23.484325000000002</v>
      </c>
      <c r="O1553" s="8">
        <v>15.9541</v>
      </c>
      <c r="P1553" s="7"/>
      <c r="Q1553" s="7">
        <v>23.8622</v>
      </c>
      <c r="R1553" s="7">
        <v>23.8622</v>
      </c>
      <c r="S1553" s="8">
        <v>23.8622</v>
      </c>
    </row>
    <row r="1554" spans="1:19" s="12" customFormat="1" ht="16.5" customHeight="1">
      <c r="A1554" s="3"/>
      <c r="B1554" s="13" t="s">
        <v>216</v>
      </c>
      <c r="C1554" s="7">
        <v>22.584085714285717</v>
      </c>
      <c r="D1554" s="7"/>
      <c r="E1554" s="7">
        <v>22.927733</v>
      </c>
      <c r="F1554" s="7">
        <v>23.45610342857143</v>
      </c>
      <c r="G1554" s="7">
        <v>28.892871428571425</v>
      </c>
      <c r="H1554" s="14">
        <v>22.485252</v>
      </c>
      <c r="I1554" s="7">
        <v>23.443176051498444</v>
      </c>
      <c r="J1554" s="7">
        <v>24.73243934285714</v>
      </c>
      <c r="K1554" s="7">
        <v>24.73243934285714</v>
      </c>
      <c r="L1554" s="7">
        <v>24.73243934285714</v>
      </c>
      <c r="M1554" s="7"/>
      <c r="N1554" s="7">
        <v>23.479285714285716</v>
      </c>
      <c r="O1554" s="8">
        <v>15.8514</v>
      </c>
      <c r="P1554" s="7"/>
      <c r="Q1554" s="7">
        <v>22.933142857142858</v>
      </c>
      <c r="R1554" s="7">
        <v>22.933142857142858</v>
      </c>
      <c r="S1554" s="8">
        <v>22.933142857142858</v>
      </c>
    </row>
    <row r="1555" spans="1:19" s="12" customFormat="1" ht="16.5" customHeight="1">
      <c r="A1555" s="3"/>
      <c r="B1555" s="13" t="s">
        <v>217</v>
      </c>
      <c r="C1555" s="7">
        <v>23.401000000000003</v>
      </c>
      <c r="D1555" s="7"/>
      <c r="E1555" s="7">
        <v>23.654875</v>
      </c>
      <c r="F1555" s="7">
        <v>24.09939385714286</v>
      </c>
      <c r="G1555" s="7">
        <v>29.091417857142858</v>
      </c>
      <c r="H1555" s="14">
        <v>23.207961</v>
      </c>
      <c r="I1555" s="7">
        <v>24.278234825624857</v>
      </c>
      <c r="J1555" s="7">
        <v>25.43307505714286</v>
      </c>
      <c r="K1555" s="7">
        <v>25.43307505714286</v>
      </c>
      <c r="L1555" s="7">
        <v>25.43307505714286</v>
      </c>
      <c r="M1555" s="7"/>
      <c r="N1555" s="7">
        <v>24.24528571428571</v>
      </c>
      <c r="O1555" s="8">
        <v>16.27682857142857</v>
      </c>
      <c r="P1555" s="7"/>
      <c r="Q1555" s="7">
        <v>22.7783</v>
      </c>
      <c r="R1555" s="7">
        <v>22.7783</v>
      </c>
      <c r="S1555" s="8">
        <v>22.7783</v>
      </c>
    </row>
    <row r="1556" spans="1:19" s="12" customFormat="1" ht="16.5" customHeight="1">
      <c r="A1556" s="3"/>
      <c r="B1556" s="13" t="s">
        <v>218</v>
      </c>
      <c r="C1556" s="7">
        <v>23.08084285714285</v>
      </c>
      <c r="D1556" s="7"/>
      <c r="E1556" s="7">
        <v>23.439178999999996</v>
      </c>
      <c r="F1556" s="7">
        <v>23.907724714285717</v>
      </c>
      <c r="G1556" s="7">
        <v>29.032260714285716</v>
      </c>
      <c r="H1556" s="14">
        <v>22.992629</v>
      </c>
      <c r="I1556" s="7">
        <v>23.74345879863023</v>
      </c>
      <c r="J1556" s="7">
        <v>24.85309625714286</v>
      </c>
      <c r="K1556" s="7">
        <v>24.85309625714286</v>
      </c>
      <c r="L1556" s="7">
        <v>24.85309625714286</v>
      </c>
      <c r="M1556" s="7"/>
      <c r="N1556" s="7">
        <v>23.60994285714286</v>
      </c>
      <c r="O1556" s="8">
        <v>16.320471428571427</v>
      </c>
      <c r="P1556" s="7"/>
      <c r="Q1556" s="7">
        <v>23.88632857142857</v>
      </c>
      <c r="R1556" s="7">
        <v>23.88632857142857</v>
      </c>
      <c r="S1556" s="8">
        <v>23.88632857142857</v>
      </c>
    </row>
    <row r="1557" spans="1:19" s="12" customFormat="1" ht="16.5" customHeight="1">
      <c r="A1557" s="3"/>
      <c r="B1557" s="13" t="s">
        <v>219</v>
      </c>
      <c r="C1557" s="7">
        <v>23.255750000000003</v>
      </c>
      <c r="D1557" s="7"/>
      <c r="E1557" s="7">
        <v>23.56482075</v>
      </c>
      <c r="F1557" s="7">
        <v>24.019956000000004</v>
      </c>
      <c r="G1557" s="7">
        <v>29.066900000000004</v>
      </c>
      <c r="H1557" s="14">
        <v>23.118716</v>
      </c>
      <c r="I1557" s="7">
        <v>23.54797366017964</v>
      </c>
      <c r="J1557" s="7">
        <v>24.568938400000004</v>
      </c>
      <c r="K1557" s="7">
        <v>24.568938400000004</v>
      </c>
      <c r="L1557" s="7">
        <v>24.568938400000004</v>
      </c>
      <c r="M1557" s="7"/>
      <c r="N1557" s="7">
        <v>23.379624999999997</v>
      </c>
      <c r="O1557" s="8">
        <v>16.182499999999997</v>
      </c>
      <c r="P1557" s="7"/>
      <c r="Q1557" s="7">
        <v>24.071</v>
      </c>
      <c r="R1557" s="7">
        <v>24.071</v>
      </c>
      <c r="S1557" s="8">
        <v>24.071</v>
      </c>
    </row>
    <row r="1558" spans="1:19" s="12" customFormat="1" ht="16.5" customHeight="1">
      <c r="A1558" s="3"/>
      <c r="B1558" s="4" t="s">
        <v>13</v>
      </c>
      <c r="C1558" s="11">
        <f>(C1553*4+C1554*7+C1555*7+C1556*7+C1557*4)/29</f>
        <v>23.023506896551723</v>
      </c>
      <c r="D1558" s="11"/>
      <c r="E1558" s="11">
        <f aca="true" t="shared" si="234" ref="E1558:S1558">(E1553*4+E1554*7+E1555*7+E1556*7+E1557*4)/29</f>
        <v>23.35580551724138</v>
      </c>
      <c r="F1558" s="11">
        <f t="shared" si="234"/>
        <v>23.835186620689658</v>
      </c>
      <c r="G1558" s="11">
        <f t="shared" si="234"/>
        <v>29.009872413793104</v>
      </c>
      <c r="H1558" s="11">
        <f>(H1553*4+H1554*7+H1555*7+H1556*7+H1557*4)/29</f>
        <v>22.9111355862069</v>
      </c>
      <c r="I1558" s="11">
        <f t="shared" si="234"/>
        <v>23.740538634735746</v>
      </c>
      <c r="J1558" s="11">
        <f t="shared" si="234"/>
        <v>24.923752165517243</v>
      </c>
      <c r="K1558" s="11">
        <f t="shared" si="234"/>
        <v>24.923752165517243</v>
      </c>
      <c r="L1558" s="11">
        <f>(L1553*4+L1554*7+L1555*7+L1556*7+L1557*4)/29</f>
        <v>24.923752165517243</v>
      </c>
      <c r="M1558" s="11"/>
      <c r="N1558" s="11">
        <f t="shared" si="234"/>
        <v>23.682668965517244</v>
      </c>
      <c r="O1558" s="38">
        <f t="shared" si="234"/>
        <v>16.127148275862066</v>
      </c>
      <c r="P1558" s="11"/>
      <c r="Q1558" s="11">
        <f t="shared" si="234"/>
        <v>23.410937931034482</v>
      </c>
      <c r="R1558" s="48">
        <f t="shared" si="234"/>
        <v>23.410937931034482</v>
      </c>
      <c r="S1558" s="38">
        <f t="shared" si="234"/>
        <v>23.410937931034482</v>
      </c>
    </row>
    <row r="1559" spans="1:19" s="12" customFormat="1" ht="16.5" customHeight="1">
      <c r="A1559" s="3"/>
      <c r="B1559" s="13" t="s">
        <v>54</v>
      </c>
      <c r="C1559" s="7">
        <v>23.188</v>
      </c>
      <c r="D1559" s="7"/>
      <c r="E1559" s="7">
        <v>23.30680033333333</v>
      </c>
      <c r="F1559" s="7">
        <v>23.765278000000006</v>
      </c>
      <c r="G1559" s="7">
        <v>28.829283333333333</v>
      </c>
      <c r="H1559" s="14">
        <v>22.860991333333335</v>
      </c>
      <c r="I1559" s="7">
        <v>23.33021770459082</v>
      </c>
      <c r="J1559" s="7">
        <v>24.195245</v>
      </c>
      <c r="K1559" s="7">
        <v>24.195245</v>
      </c>
      <c r="L1559" s="7">
        <v>24.195245</v>
      </c>
      <c r="M1559" s="7"/>
      <c r="N1559" s="7">
        <v>22.964166666666667</v>
      </c>
      <c r="O1559" s="8">
        <v>16.1307</v>
      </c>
      <c r="P1559" s="7"/>
      <c r="Q1559" s="7">
        <v>24.071</v>
      </c>
      <c r="R1559" s="7">
        <v>24.071</v>
      </c>
      <c r="S1559" s="8">
        <v>24.071</v>
      </c>
    </row>
    <row r="1560" spans="1:19" s="12" customFormat="1" ht="16.5" customHeight="1">
      <c r="A1560" s="3"/>
      <c r="B1560" s="13" t="s">
        <v>377</v>
      </c>
      <c r="C1560" s="7">
        <v>22.573128571428576</v>
      </c>
      <c r="D1560" s="7"/>
      <c r="E1560" s="7">
        <v>22.898973</v>
      </c>
      <c r="F1560" s="7">
        <v>23.40454642857143</v>
      </c>
      <c r="G1560" s="7">
        <v>28.717946428571427</v>
      </c>
      <c r="H1560" s="14">
        <v>22.455724999999997</v>
      </c>
      <c r="I1560" s="7">
        <v>23.158746981043915</v>
      </c>
      <c r="J1560" s="7">
        <v>24.017980142857148</v>
      </c>
      <c r="K1560" s="7">
        <v>24.017980142857148</v>
      </c>
      <c r="L1560" s="7">
        <v>24.017980142857148</v>
      </c>
      <c r="M1560" s="7"/>
      <c r="N1560" s="7">
        <v>22.84077142857143</v>
      </c>
      <c r="O1560" s="8">
        <v>16.51377142857143</v>
      </c>
      <c r="P1560" s="7"/>
      <c r="Q1560" s="7">
        <v>24.631571428571426</v>
      </c>
      <c r="R1560" s="7">
        <v>24.631571428571426</v>
      </c>
      <c r="S1560" s="8">
        <v>24.631571428571426</v>
      </c>
    </row>
    <row r="1561" spans="1:19" s="12" customFormat="1" ht="16.5" customHeight="1">
      <c r="A1561" s="3"/>
      <c r="B1561" s="13" t="s">
        <v>378</v>
      </c>
      <c r="C1561" s="7">
        <v>22.69728571428572</v>
      </c>
      <c r="D1561" s="7"/>
      <c r="E1561" s="7">
        <v>23.192162</v>
      </c>
      <c r="F1561" s="7">
        <v>23.666639285714286</v>
      </c>
      <c r="G1561" s="7">
        <v>28.798839285714287</v>
      </c>
      <c r="H1561" s="14">
        <v>22.750175000000002</v>
      </c>
      <c r="I1561" s="7">
        <v>23.33454808392219</v>
      </c>
      <c r="J1561" s="7">
        <v>24.13174811428572</v>
      </c>
      <c r="K1561" s="7">
        <v>24.13174811428572</v>
      </c>
      <c r="L1561" s="7">
        <v>24.13174811428572</v>
      </c>
      <c r="M1561" s="7"/>
      <c r="N1561" s="7">
        <v>22.925557142857148</v>
      </c>
      <c r="O1561" s="8">
        <v>16.8665</v>
      </c>
      <c r="P1561" s="7"/>
      <c r="Q1561" s="7">
        <v>24.724999999999998</v>
      </c>
      <c r="R1561" s="7">
        <v>24.724999999999998</v>
      </c>
      <c r="S1561" s="8">
        <v>24.724999999999998</v>
      </c>
    </row>
    <row r="1562" spans="1:19" s="12" customFormat="1" ht="16.5" customHeight="1">
      <c r="A1562" s="3"/>
      <c r="B1562" s="13" t="s">
        <v>379</v>
      </c>
      <c r="C1562" s="7">
        <v>23.928357142857145</v>
      </c>
      <c r="D1562" s="7"/>
      <c r="E1562" s="7">
        <v>24.209308</v>
      </c>
      <c r="F1562" s="7">
        <v>24.567544428571427</v>
      </c>
      <c r="G1562" s="7">
        <v>29.076896428571427</v>
      </c>
      <c r="H1562" s="14">
        <v>23.762303</v>
      </c>
      <c r="I1562" s="7">
        <v>24.074876751766574</v>
      </c>
      <c r="J1562" s="7">
        <v>24.81254774285714</v>
      </c>
      <c r="K1562" s="7">
        <v>24.81254774285714</v>
      </c>
      <c r="L1562" s="7">
        <v>24.81254774285714</v>
      </c>
      <c r="M1562" s="7"/>
      <c r="N1562" s="7">
        <v>23.576942857142857</v>
      </c>
      <c r="O1562" s="8">
        <v>17.692185714285717</v>
      </c>
      <c r="P1562" s="7"/>
      <c r="Q1562" s="7">
        <v>23.669514285714286</v>
      </c>
      <c r="R1562" s="7">
        <v>23.669514285714286</v>
      </c>
      <c r="S1562" s="8">
        <v>23.669514285714286</v>
      </c>
    </row>
    <row r="1563" spans="1:19" s="12" customFormat="1" ht="16.5" customHeight="1">
      <c r="A1563" s="3"/>
      <c r="B1563" s="13" t="s">
        <v>380</v>
      </c>
      <c r="C1563" s="7">
        <v>24.448028571428573</v>
      </c>
      <c r="D1563" s="7"/>
      <c r="E1563" s="7">
        <v>24.472714</v>
      </c>
      <c r="F1563" s="7">
        <v>24.797815857142858</v>
      </c>
      <c r="G1563" s="7">
        <v>29.147967857142852</v>
      </c>
      <c r="H1563" s="14">
        <v>24.021002999999997</v>
      </c>
      <c r="I1563" s="7">
        <v>23.6479827975861</v>
      </c>
      <c r="J1563" s="7">
        <v>24.62530637142857</v>
      </c>
      <c r="K1563" s="7">
        <v>24.62530637142857</v>
      </c>
      <c r="L1563" s="7">
        <v>24.62530637142857</v>
      </c>
      <c r="M1563" s="7"/>
      <c r="N1563" s="7">
        <v>23.331914285714284</v>
      </c>
      <c r="O1563" s="8">
        <v>17.95631428571429</v>
      </c>
      <c r="P1563" s="7"/>
      <c r="Q1563" s="7">
        <v>23.493599999999997</v>
      </c>
      <c r="R1563" s="7">
        <v>23.493599999999997</v>
      </c>
      <c r="S1563" s="8">
        <v>23.493599999999997</v>
      </c>
    </row>
    <row r="1564" spans="1:19" s="12" customFormat="1" ht="16.5" customHeight="1">
      <c r="A1564" s="69"/>
      <c r="B1564" s="16" t="s">
        <v>13</v>
      </c>
      <c r="C1564" s="17">
        <f>(C1559*3+C1560*7+C1561*7+C1562*7+C1563*7)/31</f>
        <v>23.39005161290323</v>
      </c>
      <c r="D1564" s="17"/>
      <c r="E1564" s="17">
        <f aca="true" t="shared" si="235" ref="E1564:S1564">(E1559*3+E1560*7+E1561*7+E1562*7+E1563*7)/31</f>
        <v>23.655887096774194</v>
      </c>
      <c r="F1564" s="17">
        <f t="shared" si="235"/>
        <v>24.07585987096774</v>
      </c>
      <c r="G1564" s="17">
        <f t="shared" si="235"/>
        <v>28.925141935483868</v>
      </c>
      <c r="H1564" s="17">
        <f>(H1559*3+H1560*7+H1561*7+H1562*7+H1563*7)/31</f>
        <v>23.20991664516129</v>
      </c>
      <c r="I1564" s="17">
        <f t="shared" si="235"/>
        <v>23.53237856174206</v>
      </c>
      <c r="J1564" s="17">
        <f t="shared" si="235"/>
        <v>24.37738101935484</v>
      </c>
      <c r="K1564" s="17">
        <f t="shared" si="235"/>
        <v>24.37738101935484</v>
      </c>
      <c r="L1564" s="17">
        <f t="shared" si="235"/>
        <v>24.37738101935484</v>
      </c>
      <c r="M1564" s="17"/>
      <c r="N1564" s="17">
        <f t="shared" si="235"/>
        <v>23.148993548387097</v>
      </c>
      <c r="O1564" s="18">
        <f t="shared" si="235"/>
        <v>17.148177419354838</v>
      </c>
      <c r="P1564" s="17"/>
      <c r="Q1564" s="17">
        <f t="shared" si="235"/>
        <v>24.12421935483871</v>
      </c>
      <c r="R1564" s="55">
        <f t="shared" si="235"/>
        <v>24.12421935483871</v>
      </c>
      <c r="S1564" s="18">
        <f t="shared" si="235"/>
        <v>24.12421935483871</v>
      </c>
    </row>
    <row r="1565" spans="2:19" s="59" customFormat="1" ht="6" customHeight="1"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  <c r="M1565" s="60"/>
      <c r="N1565" s="60"/>
      <c r="O1565" s="60"/>
      <c r="P1565" s="60"/>
      <c r="Q1565" s="60"/>
      <c r="R1565" s="61"/>
      <c r="S1565" s="60"/>
    </row>
    <row r="1566" ht="16.5" customHeight="1">
      <c r="A1566" s="58" t="s">
        <v>447</v>
      </c>
    </row>
    <row r="1567" spans="1:16" ht="16.5" customHeight="1">
      <c r="A1567" s="58" t="s">
        <v>450</v>
      </c>
      <c r="P1567" s="70"/>
    </row>
    <row r="1568" ht="16.5" customHeight="1">
      <c r="P1568" s="70"/>
    </row>
    <row r="1569" ht="16.5" customHeight="1">
      <c r="P1569" s="70"/>
    </row>
    <row r="1570" ht="16.5" customHeight="1">
      <c r="P1570" s="70"/>
    </row>
    <row r="1571" ht="16.5" customHeight="1">
      <c r="P1571" s="70"/>
    </row>
    <row r="1572" ht="16.5" customHeight="1">
      <c r="P1572" s="70"/>
    </row>
    <row r="1573" ht="16.5" customHeight="1">
      <c r="P1573" s="70"/>
    </row>
    <row r="1574" ht="16.5" customHeight="1">
      <c r="P1574" s="70"/>
    </row>
    <row r="1575" ht="16.5" customHeight="1">
      <c r="P1575" s="70"/>
    </row>
    <row r="1576" ht="16.5" customHeight="1">
      <c r="P1576" s="70"/>
    </row>
    <row r="1577" ht="16.5" customHeight="1">
      <c r="P1577" s="70"/>
    </row>
    <row r="1578" ht="16.5" customHeight="1">
      <c r="P1578" s="70"/>
    </row>
    <row r="1579" ht="16.5" customHeight="1">
      <c r="P1579" s="70"/>
    </row>
    <row r="1580" ht="16.5" customHeight="1">
      <c r="P1580" s="70"/>
    </row>
    <row r="1581" ht="16.5" customHeight="1">
      <c r="P1581" s="70"/>
    </row>
    <row r="1582" ht="16.5" customHeight="1">
      <c r="P1582" s="70"/>
    </row>
    <row r="1583" ht="16.5" customHeight="1">
      <c r="P1583" s="70"/>
    </row>
    <row r="1584" ht="16.5" customHeight="1">
      <c r="P1584" s="70"/>
    </row>
    <row r="1585" ht="16.5" customHeight="1">
      <c r="P1585" s="70"/>
    </row>
    <row r="1586" ht="16.5" customHeight="1">
      <c r="P1586" s="70"/>
    </row>
    <row r="1587" ht="16.5" customHeight="1">
      <c r="P1587" s="70"/>
    </row>
    <row r="1588" ht="16.5" customHeight="1">
      <c r="P1588" s="70"/>
    </row>
    <row r="1589" ht="16.5" customHeight="1">
      <c r="P1589" s="70"/>
    </row>
    <row r="1590" ht="16.5" customHeight="1">
      <c r="P1590" s="70"/>
    </row>
    <row r="1591" ht="16.5" customHeight="1">
      <c r="P1591" s="70"/>
    </row>
    <row r="1592" ht="16.5" customHeight="1">
      <c r="P1592" s="70"/>
    </row>
    <row r="1593" ht="16.5" customHeight="1">
      <c r="P1593" s="70"/>
    </row>
    <row r="1594" ht="16.5" customHeight="1">
      <c r="P1594" s="70"/>
    </row>
  </sheetData>
  <sheetProtection/>
  <printOptions horizontalCentered="1"/>
  <pageMargins left="0" right="0" top="0.236220472440945" bottom="0.236220472440945" header="0.236220472440945" footer="0.23622047244094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2021-02-01T06:37:22Z</cp:lastPrinted>
  <dcterms:created xsi:type="dcterms:W3CDTF">2007-01-15T09:52:17Z</dcterms:created>
  <dcterms:modified xsi:type="dcterms:W3CDTF">2024-04-01T09:23:34Z</dcterms:modified>
  <cp:category/>
  <cp:version/>
  <cp:contentType/>
  <cp:contentStatus/>
</cp:coreProperties>
</file>